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Lines" sheetId="2" state="visible" r:id="rId2"/>
    <sheet name="Suppliers" sheetId="3" state="visible" r:id="rId3"/>
    <sheet name="PO" sheetId="4" state="visible" r:id="rId4"/>
    <sheet name="Open orders" sheetId="5" state="visible" r:id="rId5"/>
  </sheets>
  <definedNames>
    <definedName name="_xlnm.Print_Area" localSheetId="3">'PO'!$A$1:$H$53</definedName>
  </definedNames>
  <calcPr calcId="124519" fullCalcOnLoad="1"/>
</workbook>
</file>

<file path=xl/styles.xml><?xml version="1.0" encoding="utf-8"?>
<styleSheet xmlns="http://schemas.openxmlformats.org/spreadsheetml/2006/main">
  <numFmts count="3">
    <numFmt numFmtId="164" formatCode="$#,##0.00;($#,##0.00);-"/>
    <numFmt numFmtId="165" formatCode="yyyy-mm-dd"/>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5">
    <fill>
      <patternFill/>
    </fill>
    <fill>
      <patternFill patternType="gray125"/>
    </fill>
    <fill>
      <patternFill patternType="solid">
        <fgColor rgb="00217346"/>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3" fontId="4" fillId="3" borderId="1" pivotButton="0" quotePrefix="0" xfId="0"/>
    <xf numFmtId="164" fontId="4" fillId="3" borderId="1" pivotButton="0" quotePrefix="0" xfId="0"/>
    <xf numFmtId="164" fontId="5" fillId="0" borderId="1" pivotButton="0" quotePrefix="0" xfId="0"/>
    <xf numFmtId="165" fontId="4" fillId="3" borderId="1" pivotButton="0" quotePrefix="0" xfId="0"/>
    <xf numFmtId="165" fontId="5" fillId="0" borderId="1" pivotButton="0" quotePrefix="0" xfId="0"/>
    <xf numFmtId="3" fontId="5" fillId="0" borderId="1" pivotButton="0" quotePrefix="0" xfId="0"/>
    <xf numFmtId="0" fontId="5" fillId="0" borderId="1" pivotButton="0" quotePrefix="0" xfId="0"/>
    <xf numFmtId="4" fontId="5" fillId="0" borderId="1" pivotButton="0" quotePrefix="0" xfId="0"/>
    <xf numFmtId="0" fontId="6" fillId="0" borderId="1" pivotButton="0" quotePrefix="0" xfId="0"/>
    <xf numFmtId="3" fontId="6" fillId="0" borderId="1" pivotButton="0" quotePrefix="0" xfId="0"/>
    <xf numFmtId="164" fontId="6" fillId="0" borderId="1" pivotButton="0" quotePrefix="0" xfId="0"/>
    <xf numFmtId="0" fontId="5" fillId="0" borderId="0" pivotButton="0" quotePrefix="0" xfId="0"/>
    <xf numFmtId="166" fontId="4" fillId="3" borderId="1" pivotButton="0" quotePrefix="0" xfId="0"/>
    <xf numFmtId="165" fontId="6" fillId="0" borderId="1" pivotButton="0" quotePrefix="0" xfId="0"/>
    <xf numFmtId="4" fontId="6" fillId="0" borderId="1" pivotButton="0" quotePrefix="0" xfId="0"/>
    <xf numFmtId="3" fontId="6" fillId="4" borderId="1" pivotButton="0" quotePrefix="0" xfId="0"/>
    <xf numFmtId="164" fontId="6" fillId="4"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Purchase Order Tracker</t>
        </is>
      </c>
    </row>
    <row r="2">
      <c r="A2" s="2" t="inlineStr">
        <is>
          <t>Free template from spreadsheet.partners — free for commercial use, no attribution needed.</t>
        </is>
      </c>
    </row>
    <row r="4">
      <c r="A4" s="3" t="inlineStr">
        <is>
          <t>What this workbook is for</t>
        </is>
      </c>
    </row>
    <row r="5">
      <c r="A5" s="4" t="inlineStr">
        <is>
          <t>Raising purchase orders and answering 'what is on order?' from the same data. The printed document and the outstanding-commitment report are the same rows, so they can never disagree. If you only ever print orders, a word processor is fine; the moment somebody asks what you have committed to, it is not.</t>
        </is>
      </c>
    </row>
    <row r="7">
      <c r="A7" s="3" t="inlineStr">
        <is>
          <t>The one cell that drives the printable order</t>
        </is>
      </c>
    </row>
    <row r="8">
      <c r="A8" s="4" t="inlineStr">
        <is>
          <t>PO!B4. Type a PO number there — PO-2211 is seeded — and the supplier block, the dates, up to twenty lines and all the totals repopulate from the Lines tab. The print area is already set to the document, so Ctrl+P gives you the order and nothing else. To send a different order, change B4 and print again.</t>
        </is>
      </c>
    </row>
    <row r="10">
      <c r="A10" s="3" t="inlineStr">
        <is>
          <t>How PO numbering works</t>
        </is>
      </c>
    </row>
    <row r="11">
      <c r="A11" s="4" t="inlineStr">
        <is>
          <t>References are 'PO-' plus four digits: PO-2211. Lines column P strips the last four characters back to a number, and PO!E4 shows the next free one as "PO-" &amp; TEXT(MAX(P)+1,"0000"). Read that cell before you raise an order and type the number it gives you. Duplicate PO numbers are easy to create — two people raising orders the same morning — and expensive to unpick, because the supplier's invoice then matches two different orders.</t>
        </is>
      </c>
    </row>
    <row r="13">
      <c r="A13" s="3" t="inlineStr">
        <is>
          <t>How to add a supplier</t>
        </is>
      </c>
    </row>
    <row r="14">
      <c r="A14" s="4" t="inlineStr">
        <is>
          <t>Add a row on the Suppliers tab. Name in column A must be spelled exactly as you will type it on Lines — column B there is a dropdown pointing at this list, so use the dropdown and the two can never drift apart. Lead days in column G is what sets the expected delivery date on every line you order from them: order date + lead days. It is calendar days, because that is what suppliers quote; if yours quotes working days, add the weekends before typing it in.</t>
        </is>
      </c>
    </row>
    <row r="16">
      <c r="A16" s="3" t="inlineStr">
        <is>
          <t>Recording a part delivery</t>
        </is>
      </c>
    </row>
    <row r="17">
      <c r="A17" s="4" t="inlineStr">
        <is>
          <t>Type the quantity that actually arrived into Lines column J, not a tick. Outstanding quantity and outstanding value fall out of it, the line stays open, and it keeps ageing until the rest turns up. Marking a whole PO as received when half of it arrived is the single most common error this file exists to prevent. If a second delivery arrives later, update J to the running total received and put the latest receipt date in K.</t>
        </is>
      </c>
    </row>
    <row r="19">
      <c r="A19" s="3" t="inlineStr">
        <is>
          <t>What 'late' means here</t>
        </is>
      </c>
    </row>
    <row r="20">
      <c r="A20" s="4" t="inlineStr">
        <is>
          <t>Goods are still owed AND the expected date has passed. A line that arrived a week after its expected date is closed, not late-and-growing — you learn that from the receipt date, not from an ageing bucket. The ageing table on 'Open orders' therefore only ever shows money you are still waiting for.</t>
        </is>
      </c>
    </row>
    <row r="22">
      <c r="A22" s="3" t="inlineStr">
        <is>
          <t>Which cells you type</t>
        </is>
      </c>
    </row>
    <row r="23">
      <c r="A23" s="4" t="inlineStr">
        <is>
          <t>Lines: A PO, B Supplier, C Item, D Qty, E Unit price, G Description, H Order date, and J and K when goods arrive. Suppliers: A to I. PO: B4 (the order to print), your own company block B8-B12, B16 Deliver to, the tax rate, freight, the notes and the signature boxes. Nothing on 'Open orders' is typed. Yellow with blue text means type here; black means the workbook fills it in.</t>
        </is>
      </c>
    </row>
    <row r="25">
      <c r="A25" s="3" t="inlineStr">
        <is>
          <t>Tax, freight and the goods total</t>
        </is>
      </c>
    </row>
    <row r="26">
      <c r="A26" s="4" t="inlineStr">
        <is>
          <t>The subtotal, and every figure on 'Open orders', are goods values — what you ordered from the supplier. Tax and freight are added on the printed document only, because recoverable tax is not a commitment and freight is usually not known per line. If freight matters to you commercially, add it as its own line on the order with its own item code.</t>
        </is>
      </c>
    </row>
    <row r="28">
      <c r="A28" s="3" t="inlineStr">
        <is>
          <t>Approval limits</t>
        </is>
      </c>
    </row>
    <row r="29">
      <c r="A29" s="4" t="inlineStr">
        <is>
          <t>There is a 'Raised by' and an 'Approved by' box on the document. Treat it as a record, not a control: a spreadsheet cannot stop someone typing their own name. If you want a threshold, add a column to Suppliers or a lookup on the order total and route anything above it through whoever actually signs.</t>
        </is>
      </c>
    </row>
    <row r="31">
      <c r="A31" s="3" t="inlineStr">
        <is>
          <t>Ranges and rows</t>
        </is>
      </c>
    </row>
    <row r="32">
      <c r="A32" s="4" t="inlineStr">
        <is>
          <t>Lines covers rows 5-204 and Suppliers rows 5-54, and every summary formula reads the whole range. Insert rows inside those blocks rather than typing underneath them, or the new data will be invisible to the totals. The printable PO shows up to twenty lines per order; a longer order needs the block on the PO tab extended, copying the formulas down. The 'Open orders' PO table lists the first forty distinct orders.</t>
        </is>
      </c>
    </row>
    <row r="34">
      <c r="A34" s="3" t="inlineStr">
        <is>
          <t>The helper columns on Lines</t>
        </is>
      </c>
    </row>
    <row r="35">
      <c r="A35" s="4" t="inlineStr">
        <is>
          <t>P to T look like clutter and are load-bearing. P is the numeric part of the reference, for the next-number formula. Q numbers the lines within their own PO, R joins the two into the key the printable order matches on, S flags the first row of each PO so 'Open orders' can list each order once, and T marks which of those orders still has something outstanding. Deleting them breaks the document and the summary, not the arithmetic.</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204"/>
  <sheetViews>
    <sheetView workbookViewId="0">
      <pane ySplit="4" topLeftCell="A5" activePane="bottomLeft" state="frozen"/>
      <selection pane="bottomLeft" activeCell="A1" sqref="A1"/>
    </sheetView>
  </sheetViews>
  <sheetFormatPr baseColWidth="8" defaultRowHeight="15"/>
  <cols>
    <col width="11" customWidth="1" min="1" max="1"/>
    <col width="20" customWidth="1" min="2" max="2"/>
    <col width="14" customWidth="1" min="3" max="3"/>
    <col width="8" customWidth="1" min="4" max="4"/>
    <col width="11" customWidth="1" min="5" max="5"/>
    <col width="12" customWidth="1" min="6" max="6"/>
    <col width="34" customWidth="1" min="7" max="7"/>
    <col width="12" customWidth="1" min="8" max="8"/>
    <col width="13" customWidth="1" min="9" max="9"/>
    <col width="11" customWidth="1" min="10" max="10"/>
    <col width="12" customWidth="1" min="11" max="11"/>
    <col width="12" customWidth="1" min="12" max="12"/>
    <col width="13" customWidth="1" min="13" max="13"/>
    <col width="13" customWidth="1" min="14" max="14"/>
    <col width="9" customWidth="1" min="15" max="15"/>
    <col width="10" customWidth="1" min="16" max="16"/>
    <col width="9" customWidth="1" min="17" max="17"/>
    <col width="14" customWidth="1" min="18" max="18"/>
    <col width="8" customWidth="1" min="19" max="19"/>
    <col width="8" customWidth="1" min="20" max="20"/>
  </cols>
  <sheetData>
    <row r="1">
      <c r="A1" s="1" t="inlineStr">
        <is>
          <t>PO lines</t>
        </is>
      </c>
    </row>
    <row r="2">
      <c r="A2" s="2" t="inlineStr">
        <is>
          <t>One row per ordered line. Type A-E, G, H and — when goods arrive — J and K. Everything from F and I onwards is calculated. Never overwrite a black cell.</t>
        </is>
      </c>
    </row>
    <row r="4">
      <c r="A4" s="6" t="inlineStr">
        <is>
          <t>PO</t>
        </is>
      </c>
      <c r="B4" s="6" t="inlineStr">
        <is>
          <t>Supplier</t>
        </is>
      </c>
      <c r="C4" s="6" t="inlineStr">
        <is>
          <t>Item</t>
        </is>
      </c>
      <c r="D4" s="6" t="inlineStr">
        <is>
          <t>Qty</t>
        </is>
      </c>
      <c r="E4" s="6" t="inlineStr">
        <is>
          <t>Unit price</t>
        </is>
      </c>
      <c r="F4" s="6" t="inlineStr">
        <is>
          <t>Line total</t>
        </is>
      </c>
      <c r="G4" s="6" t="inlineStr">
        <is>
          <t>Description</t>
        </is>
      </c>
      <c r="H4" s="6" t="inlineStr">
        <is>
          <t>Order date</t>
        </is>
      </c>
      <c r="I4" s="6" t="inlineStr">
        <is>
          <t>Expected date</t>
        </is>
      </c>
      <c r="J4" s="6" t="inlineStr">
        <is>
          <t>Received qty</t>
        </is>
      </c>
      <c r="K4" s="6" t="inlineStr">
        <is>
          <t>Received date</t>
        </is>
      </c>
      <c r="L4" s="6" t="inlineStr">
        <is>
          <t>Outstanding qty</t>
        </is>
      </c>
      <c r="M4" s="6" t="inlineStr">
        <is>
          <t>Outstanding value</t>
        </is>
      </c>
      <c r="N4" s="6" t="inlineStr">
        <is>
          <t>Status</t>
        </is>
      </c>
      <c r="O4" s="6" t="inlineStr">
        <is>
          <t>Days late</t>
        </is>
      </c>
      <c r="P4" s="6" t="inlineStr">
        <is>
          <t>PO number</t>
        </is>
      </c>
      <c r="Q4" s="6" t="inlineStr">
        <is>
          <t>Line in PO</t>
        </is>
      </c>
      <c r="R4" s="6" t="inlineStr">
        <is>
          <t>Key</t>
        </is>
      </c>
      <c r="S4" s="6" t="inlineStr">
        <is>
          <t>PO seq</t>
        </is>
      </c>
      <c r="T4" s="6" t="inlineStr">
        <is>
          <t>PO open</t>
        </is>
      </c>
    </row>
    <row r="5">
      <c r="A5" s="7" t="inlineStr">
        <is>
          <t>PO-2211</t>
        </is>
      </c>
      <c r="B5" s="7" t="inlineStr">
        <is>
          <t>Nordic Textiles</t>
        </is>
      </c>
      <c r="C5" s="7" t="inlineStr">
        <is>
          <t>TSH-BLK-M</t>
        </is>
      </c>
      <c r="D5" s="8" t="n">
        <v>120</v>
      </c>
      <c r="E5" s="9" t="n">
        <v>8.4</v>
      </c>
      <c r="F5" s="10">
        <f>IF($A5="","",IF(OR($D5="",$E5=""),"",$D5*$E5))</f>
        <v/>
      </c>
      <c r="G5" s="7" t="inlineStr">
        <is>
          <t>T-shirt, black, medium</t>
        </is>
      </c>
      <c r="H5" s="11" t="n">
        <v>46258</v>
      </c>
      <c r="I5" s="12">
        <f>IF($A5="","",IF($H5="","",$H5+IFERROR(VLOOKUP($B5,Suppliers!$A$5:$I$54,7,FALSE),0)))</f>
        <v/>
      </c>
      <c r="J5" s="8" t="n">
        <v>120</v>
      </c>
      <c r="K5" s="11" t="n">
        <v>46275</v>
      </c>
      <c r="L5" s="13">
        <f>IF($A5="","",IF($D5="","",$D5-$J5))</f>
        <v/>
      </c>
      <c r="M5" s="10">
        <f>IF($A5="","",IF(OR($L5="",$E5=""),"",$L5*$E5))</f>
        <v/>
      </c>
      <c r="N5" s="14">
        <f>IF($A5="","",IF($D5="","",IF($J5&gt;=$D5,"Received",IF($J5&gt;0,"Part received","Open"))))</f>
        <v/>
      </c>
      <c r="O5" s="13">
        <f>IF($A5="","",IF($L5="","",IF($L5&lt;=0,"",IF($I5="","",MAX(0,TODAY()-$I5)))))</f>
        <v/>
      </c>
      <c r="P5" s="13">
        <f>IF($A5="","",IFERROR(RIGHT($A5,4)*1,""))</f>
        <v/>
      </c>
      <c r="Q5" s="13">
        <f>IF($A5="","",COUNTIFS($A$5:$A5,$A5))</f>
        <v/>
      </c>
      <c r="R5" s="14">
        <f>IF($A5="","",$A5&amp;"|"&amp;$Q5)</f>
        <v/>
      </c>
      <c r="S5" s="13">
        <f>IF($A5="","",IF($Q5=1,MAX($S$4:$S4)+1,""))</f>
        <v/>
      </c>
      <c r="T5" s="13">
        <f>IF($S5="","",IF(SUMIFS($L$5:$L$204,$A$5:$A$204,$A5)&gt;0,1,0))</f>
        <v/>
      </c>
    </row>
    <row r="6">
      <c r="A6" s="7" t="inlineStr">
        <is>
          <t>PO-2211</t>
        </is>
      </c>
      <c r="B6" s="7" t="inlineStr">
        <is>
          <t>Nordic Textiles</t>
        </is>
      </c>
      <c r="C6" s="7" t="inlineStr">
        <is>
          <t>TSH-BLK-L</t>
        </is>
      </c>
      <c r="D6" s="8" t="n">
        <v>80</v>
      </c>
      <c r="E6" s="9" t="n">
        <v>8.4</v>
      </c>
      <c r="F6" s="10">
        <f>IF($A6="","",IF(OR($D6="",$E6=""),"",$D6*$E6))</f>
        <v/>
      </c>
      <c r="G6" s="7" t="inlineStr">
        <is>
          <t>T-shirt, black, large</t>
        </is>
      </c>
      <c r="H6" s="11" t="n">
        <v>46258</v>
      </c>
      <c r="I6" s="12">
        <f>IF($A6="","",IF($H6="","",$H6+IFERROR(VLOOKUP($B6,Suppliers!$A$5:$I$54,7,FALSE),0)))</f>
        <v/>
      </c>
      <c r="J6" s="8" t="n"/>
      <c r="K6" s="11" t="n"/>
      <c r="L6" s="13">
        <f>IF($A6="","",IF($D6="","",$D6-$J6))</f>
        <v/>
      </c>
      <c r="M6" s="10">
        <f>IF($A6="","",IF(OR($L6="",$E6=""),"",$L6*$E6))</f>
        <v/>
      </c>
      <c r="N6" s="14">
        <f>IF($A6="","",IF($D6="","",IF($J6&gt;=$D6,"Received",IF($J6&gt;0,"Part received","Open"))))</f>
        <v/>
      </c>
      <c r="O6" s="13">
        <f>IF($A6="","",IF($L6="","",IF($L6&lt;=0,"",IF($I6="","",MAX(0,TODAY()-$I6)))))</f>
        <v/>
      </c>
      <c r="P6" s="13">
        <f>IF($A6="","",IFERROR(RIGHT($A6,4)*1,""))</f>
        <v/>
      </c>
      <c r="Q6" s="13">
        <f>IF($A6="","",COUNTIFS($A$5:$A6,$A6))</f>
        <v/>
      </c>
      <c r="R6" s="14">
        <f>IF($A6="","",$A6&amp;"|"&amp;$Q6)</f>
        <v/>
      </c>
      <c r="S6" s="13">
        <f>IF($A6="","",IF($Q6=1,MAX($S$4:$S5)+1,""))</f>
        <v/>
      </c>
      <c r="T6" s="13">
        <f>IF($S6="","",IF(SUMIFS($L$5:$L$204,$A$5:$A$204,$A6)&gt;0,1,0))</f>
        <v/>
      </c>
    </row>
    <row r="7">
      <c r="A7" s="7" t="inlineStr">
        <is>
          <t>PO-2212</t>
        </is>
      </c>
      <c r="B7" s="7" t="inlineStr">
        <is>
          <t>Baltic Packaging</t>
        </is>
      </c>
      <c r="C7" s="7" t="inlineStr">
        <is>
          <t>BOX-M</t>
        </is>
      </c>
      <c r="D7" s="8" t="n">
        <v>500</v>
      </c>
      <c r="E7" s="9" t="n">
        <v>0.62</v>
      </c>
      <c r="F7" s="10">
        <f>IF($A7="","",IF(OR($D7="",$E7=""),"",$D7*$E7))</f>
        <v/>
      </c>
      <c r="G7" s="7" t="inlineStr">
        <is>
          <t>Shipping carton, 300x200x150</t>
        </is>
      </c>
      <c r="H7" s="11" t="n">
        <v>46260</v>
      </c>
      <c r="I7" s="12">
        <f>IF($A7="","",IF($H7="","",$H7+IFERROR(VLOOKUP($B7,Suppliers!$A$5:$I$54,7,FALSE),0)))</f>
        <v/>
      </c>
      <c r="J7" s="8" t="n">
        <v>500</v>
      </c>
      <c r="K7" s="11" t="n">
        <v>46267</v>
      </c>
      <c r="L7" s="13">
        <f>IF($A7="","",IF($D7="","",$D7-$J7))</f>
        <v/>
      </c>
      <c r="M7" s="10">
        <f>IF($A7="","",IF(OR($L7="",$E7=""),"",$L7*$E7))</f>
        <v/>
      </c>
      <c r="N7" s="14">
        <f>IF($A7="","",IF($D7="","",IF($J7&gt;=$D7,"Received",IF($J7&gt;0,"Part received","Open"))))</f>
        <v/>
      </c>
      <c r="O7" s="13">
        <f>IF($A7="","",IF($L7="","",IF($L7&lt;=0,"",IF($I7="","",MAX(0,TODAY()-$I7)))))</f>
        <v/>
      </c>
      <c r="P7" s="13">
        <f>IF($A7="","",IFERROR(RIGHT($A7,4)*1,""))</f>
        <v/>
      </c>
      <c r="Q7" s="13">
        <f>IF($A7="","",COUNTIFS($A$5:$A7,$A7))</f>
        <v/>
      </c>
      <c r="R7" s="14">
        <f>IF($A7="","",$A7&amp;"|"&amp;$Q7)</f>
        <v/>
      </c>
      <c r="S7" s="13">
        <f>IF($A7="","",IF($Q7=1,MAX($S$4:$S6)+1,""))</f>
        <v/>
      </c>
      <c r="T7" s="13">
        <f>IF($S7="","",IF(SUMIFS($L$5:$L$204,$A$5:$A$204,$A7)&gt;0,1,0))</f>
        <v/>
      </c>
    </row>
    <row r="8">
      <c r="A8" s="7" t="inlineStr">
        <is>
          <t>PO-2213</t>
        </is>
      </c>
      <c r="B8" s="7" t="inlineStr">
        <is>
          <t>Nordic Textiles</t>
        </is>
      </c>
      <c r="C8" s="7" t="inlineStr">
        <is>
          <t>HDY-GRY-S</t>
        </is>
      </c>
      <c r="D8" s="8" t="n">
        <v>60</v>
      </c>
      <c r="E8" s="9" t="n">
        <v>16.1</v>
      </c>
      <c r="F8" s="10">
        <f>IF($A8="","",IF(OR($D8="",$E8=""),"",$D8*$E8))</f>
        <v/>
      </c>
      <c r="G8" s="7" t="inlineStr">
        <is>
          <t>Hoodie, grey marl, small</t>
        </is>
      </c>
      <c r="H8" s="11" t="n">
        <v>46266</v>
      </c>
      <c r="I8" s="12">
        <f>IF($A8="","",IF($H8="","",$H8+IFERROR(VLOOKUP($B8,Suppliers!$A$5:$I$54,7,FALSE),0)))</f>
        <v/>
      </c>
      <c r="J8" s="8" t="n"/>
      <c r="K8" s="11" t="n"/>
      <c r="L8" s="13">
        <f>IF($A8="","",IF($D8="","",$D8-$J8))</f>
        <v/>
      </c>
      <c r="M8" s="10">
        <f>IF($A8="","",IF(OR($L8="",$E8=""),"",$L8*$E8))</f>
        <v/>
      </c>
      <c r="N8" s="14">
        <f>IF($A8="","",IF($D8="","",IF($J8&gt;=$D8,"Received",IF($J8&gt;0,"Part received","Open"))))</f>
        <v/>
      </c>
      <c r="O8" s="13">
        <f>IF($A8="","",IF($L8="","",IF($L8&lt;=0,"",IF($I8="","",MAX(0,TODAY()-$I8)))))</f>
        <v/>
      </c>
      <c r="P8" s="13">
        <f>IF($A8="","",IFERROR(RIGHT($A8,4)*1,""))</f>
        <v/>
      </c>
      <c r="Q8" s="13">
        <f>IF($A8="","",COUNTIFS($A$5:$A8,$A8))</f>
        <v/>
      </c>
      <c r="R8" s="14">
        <f>IF($A8="","",$A8&amp;"|"&amp;$Q8)</f>
        <v/>
      </c>
      <c r="S8" s="13">
        <f>IF($A8="","",IF($Q8=1,MAX($S$4:$S7)+1,""))</f>
        <v/>
      </c>
      <c r="T8" s="13">
        <f>IF($S8="","",IF(SUMIFS($L$5:$L$204,$A$5:$A$204,$A8)&gt;0,1,0))</f>
        <v/>
      </c>
    </row>
    <row r="9">
      <c r="A9" s="7" t="n"/>
      <c r="B9" s="7" t="n"/>
      <c r="C9" s="7" t="n"/>
      <c r="D9" s="8" t="n"/>
      <c r="E9" s="9" t="n"/>
      <c r="F9" s="10">
        <f>IF($A9="","",IF(OR($D9="",$E9=""),"",$D9*$E9))</f>
        <v/>
      </c>
      <c r="G9" s="7" t="n"/>
      <c r="H9" s="11" t="n"/>
      <c r="I9" s="12">
        <f>IF($A9="","",IF($H9="","",$H9+IFERROR(VLOOKUP($B9,Suppliers!$A$5:$I$54,7,FALSE),0)))</f>
        <v/>
      </c>
      <c r="J9" s="8" t="n"/>
      <c r="K9" s="11" t="n"/>
      <c r="L9" s="13">
        <f>IF($A9="","",IF($D9="","",$D9-$J9))</f>
        <v/>
      </c>
      <c r="M9" s="10">
        <f>IF($A9="","",IF(OR($L9="",$E9=""),"",$L9*$E9))</f>
        <v/>
      </c>
      <c r="N9" s="14">
        <f>IF($A9="","",IF($D9="","",IF($J9&gt;=$D9,"Received",IF($J9&gt;0,"Part received","Open"))))</f>
        <v/>
      </c>
      <c r="O9" s="13">
        <f>IF($A9="","",IF($L9="","",IF($L9&lt;=0,"",IF($I9="","",MAX(0,TODAY()-$I9)))))</f>
        <v/>
      </c>
      <c r="P9" s="13">
        <f>IF($A9="","",IFERROR(RIGHT($A9,4)*1,""))</f>
        <v/>
      </c>
      <c r="Q9" s="13">
        <f>IF($A9="","",COUNTIFS($A$5:$A9,$A9))</f>
        <v/>
      </c>
      <c r="R9" s="14">
        <f>IF($A9="","",$A9&amp;"|"&amp;$Q9)</f>
        <v/>
      </c>
      <c r="S9" s="13">
        <f>IF($A9="","",IF($Q9=1,MAX($S$4:$S8)+1,""))</f>
        <v/>
      </c>
      <c r="T9" s="13">
        <f>IF($S9="","",IF(SUMIFS($L$5:$L$204,$A$5:$A$204,$A9)&gt;0,1,0))</f>
        <v/>
      </c>
    </row>
    <row r="10">
      <c r="A10" s="7" t="n"/>
      <c r="B10" s="7" t="n"/>
      <c r="C10" s="7" t="n"/>
      <c r="D10" s="8" t="n"/>
      <c r="E10" s="9" t="n"/>
      <c r="F10" s="10">
        <f>IF($A10="","",IF(OR($D10="",$E10=""),"",$D10*$E10))</f>
        <v/>
      </c>
      <c r="G10" s="7" t="n"/>
      <c r="H10" s="11" t="n"/>
      <c r="I10" s="12">
        <f>IF($A10="","",IF($H10="","",$H10+IFERROR(VLOOKUP($B10,Suppliers!$A$5:$I$54,7,FALSE),0)))</f>
        <v/>
      </c>
      <c r="J10" s="8" t="n"/>
      <c r="K10" s="11" t="n"/>
      <c r="L10" s="13">
        <f>IF($A10="","",IF($D10="","",$D10-$J10))</f>
        <v/>
      </c>
      <c r="M10" s="10">
        <f>IF($A10="","",IF(OR($L10="",$E10=""),"",$L10*$E10))</f>
        <v/>
      </c>
      <c r="N10" s="14">
        <f>IF($A10="","",IF($D10="","",IF($J10&gt;=$D10,"Received",IF($J10&gt;0,"Part received","Open"))))</f>
        <v/>
      </c>
      <c r="O10" s="13">
        <f>IF($A10="","",IF($L10="","",IF($L10&lt;=0,"",IF($I10="","",MAX(0,TODAY()-$I10)))))</f>
        <v/>
      </c>
      <c r="P10" s="13">
        <f>IF($A10="","",IFERROR(RIGHT($A10,4)*1,""))</f>
        <v/>
      </c>
      <c r="Q10" s="13">
        <f>IF($A10="","",COUNTIFS($A$5:$A10,$A10))</f>
        <v/>
      </c>
      <c r="R10" s="14">
        <f>IF($A10="","",$A10&amp;"|"&amp;$Q10)</f>
        <v/>
      </c>
      <c r="S10" s="13">
        <f>IF($A10="","",IF($Q10=1,MAX($S$4:$S9)+1,""))</f>
        <v/>
      </c>
      <c r="T10" s="13">
        <f>IF($S10="","",IF(SUMIFS($L$5:$L$204,$A$5:$A$204,$A10)&gt;0,1,0))</f>
        <v/>
      </c>
    </row>
    <row r="11">
      <c r="A11" s="7" t="n"/>
      <c r="B11" s="7" t="n"/>
      <c r="C11" s="7" t="n"/>
      <c r="D11" s="8" t="n"/>
      <c r="E11" s="9" t="n"/>
      <c r="F11" s="10">
        <f>IF($A11="","",IF(OR($D11="",$E11=""),"",$D11*$E11))</f>
        <v/>
      </c>
      <c r="G11" s="7" t="n"/>
      <c r="H11" s="11" t="n"/>
      <c r="I11" s="12">
        <f>IF($A11="","",IF($H11="","",$H11+IFERROR(VLOOKUP($B11,Suppliers!$A$5:$I$54,7,FALSE),0)))</f>
        <v/>
      </c>
      <c r="J11" s="8" t="n"/>
      <c r="K11" s="11" t="n"/>
      <c r="L11" s="13">
        <f>IF($A11="","",IF($D11="","",$D11-$J11))</f>
        <v/>
      </c>
      <c r="M11" s="10">
        <f>IF($A11="","",IF(OR($L11="",$E11=""),"",$L11*$E11))</f>
        <v/>
      </c>
      <c r="N11" s="14">
        <f>IF($A11="","",IF($D11="","",IF($J11&gt;=$D11,"Received",IF($J11&gt;0,"Part received","Open"))))</f>
        <v/>
      </c>
      <c r="O11" s="13">
        <f>IF($A11="","",IF($L11="","",IF($L11&lt;=0,"",IF($I11="","",MAX(0,TODAY()-$I11)))))</f>
        <v/>
      </c>
      <c r="P11" s="13">
        <f>IF($A11="","",IFERROR(RIGHT($A11,4)*1,""))</f>
        <v/>
      </c>
      <c r="Q11" s="13">
        <f>IF($A11="","",COUNTIFS($A$5:$A11,$A11))</f>
        <v/>
      </c>
      <c r="R11" s="14">
        <f>IF($A11="","",$A11&amp;"|"&amp;$Q11)</f>
        <v/>
      </c>
      <c r="S11" s="13">
        <f>IF($A11="","",IF($Q11=1,MAX($S$4:$S10)+1,""))</f>
        <v/>
      </c>
      <c r="T11" s="13">
        <f>IF($S11="","",IF(SUMIFS($L$5:$L$204,$A$5:$A$204,$A11)&gt;0,1,0))</f>
        <v/>
      </c>
    </row>
    <row r="12">
      <c r="A12" s="7" t="n"/>
      <c r="B12" s="7" t="n"/>
      <c r="C12" s="7" t="n"/>
      <c r="D12" s="8" t="n"/>
      <c r="E12" s="9" t="n"/>
      <c r="F12" s="10">
        <f>IF($A12="","",IF(OR($D12="",$E12=""),"",$D12*$E12))</f>
        <v/>
      </c>
      <c r="G12" s="7" t="n"/>
      <c r="H12" s="11" t="n"/>
      <c r="I12" s="12">
        <f>IF($A12="","",IF($H12="","",$H12+IFERROR(VLOOKUP($B12,Suppliers!$A$5:$I$54,7,FALSE),0)))</f>
        <v/>
      </c>
      <c r="J12" s="8" t="n"/>
      <c r="K12" s="11" t="n"/>
      <c r="L12" s="13">
        <f>IF($A12="","",IF($D12="","",$D12-$J12))</f>
        <v/>
      </c>
      <c r="M12" s="10">
        <f>IF($A12="","",IF(OR($L12="",$E12=""),"",$L12*$E12))</f>
        <v/>
      </c>
      <c r="N12" s="14">
        <f>IF($A12="","",IF($D12="","",IF($J12&gt;=$D12,"Received",IF($J12&gt;0,"Part received","Open"))))</f>
        <v/>
      </c>
      <c r="O12" s="13">
        <f>IF($A12="","",IF($L12="","",IF($L12&lt;=0,"",IF($I12="","",MAX(0,TODAY()-$I12)))))</f>
        <v/>
      </c>
      <c r="P12" s="13">
        <f>IF($A12="","",IFERROR(RIGHT($A12,4)*1,""))</f>
        <v/>
      </c>
      <c r="Q12" s="13">
        <f>IF($A12="","",COUNTIFS($A$5:$A12,$A12))</f>
        <v/>
      </c>
      <c r="R12" s="14">
        <f>IF($A12="","",$A12&amp;"|"&amp;$Q12)</f>
        <v/>
      </c>
      <c r="S12" s="13">
        <f>IF($A12="","",IF($Q12=1,MAX($S$4:$S11)+1,""))</f>
        <v/>
      </c>
      <c r="T12" s="13">
        <f>IF($S12="","",IF(SUMIFS($L$5:$L$204,$A$5:$A$204,$A12)&gt;0,1,0))</f>
        <v/>
      </c>
    </row>
    <row r="13">
      <c r="A13" s="7" t="n"/>
      <c r="B13" s="7" t="n"/>
      <c r="C13" s="7" t="n"/>
      <c r="D13" s="8" t="n"/>
      <c r="E13" s="9" t="n"/>
      <c r="F13" s="10">
        <f>IF($A13="","",IF(OR($D13="",$E13=""),"",$D13*$E13))</f>
        <v/>
      </c>
      <c r="G13" s="7" t="n"/>
      <c r="H13" s="11" t="n"/>
      <c r="I13" s="12">
        <f>IF($A13="","",IF($H13="","",$H13+IFERROR(VLOOKUP($B13,Suppliers!$A$5:$I$54,7,FALSE),0)))</f>
        <v/>
      </c>
      <c r="J13" s="8" t="n"/>
      <c r="K13" s="11" t="n"/>
      <c r="L13" s="13">
        <f>IF($A13="","",IF($D13="","",$D13-$J13))</f>
        <v/>
      </c>
      <c r="M13" s="10">
        <f>IF($A13="","",IF(OR($L13="",$E13=""),"",$L13*$E13))</f>
        <v/>
      </c>
      <c r="N13" s="14">
        <f>IF($A13="","",IF($D13="","",IF($J13&gt;=$D13,"Received",IF($J13&gt;0,"Part received","Open"))))</f>
        <v/>
      </c>
      <c r="O13" s="13">
        <f>IF($A13="","",IF($L13="","",IF($L13&lt;=0,"",IF($I13="","",MAX(0,TODAY()-$I13)))))</f>
        <v/>
      </c>
      <c r="P13" s="13">
        <f>IF($A13="","",IFERROR(RIGHT($A13,4)*1,""))</f>
        <v/>
      </c>
      <c r="Q13" s="13">
        <f>IF($A13="","",COUNTIFS($A$5:$A13,$A13))</f>
        <v/>
      </c>
      <c r="R13" s="14">
        <f>IF($A13="","",$A13&amp;"|"&amp;$Q13)</f>
        <v/>
      </c>
      <c r="S13" s="13">
        <f>IF($A13="","",IF($Q13=1,MAX($S$4:$S12)+1,""))</f>
        <v/>
      </c>
      <c r="T13" s="13">
        <f>IF($S13="","",IF(SUMIFS($L$5:$L$204,$A$5:$A$204,$A13)&gt;0,1,0))</f>
        <v/>
      </c>
    </row>
    <row r="14">
      <c r="A14" s="7" t="n"/>
      <c r="B14" s="7" t="n"/>
      <c r="C14" s="7" t="n"/>
      <c r="D14" s="8" t="n"/>
      <c r="E14" s="9" t="n"/>
      <c r="F14" s="10">
        <f>IF($A14="","",IF(OR($D14="",$E14=""),"",$D14*$E14))</f>
        <v/>
      </c>
      <c r="G14" s="7" t="n"/>
      <c r="H14" s="11" t="n"/>
      <c r="I14" s="12">
        <f>IF($A14="","",IF($H14="","",$H14+IFERROR(VLOOKUP($B14,Suppliers!$A$5:$I$54,7,FALSE),0)))</f>
        <v/>
      </c>
      <c r="J14" s="8" t="n"/>
      <c r="K14" s="11" t="n"/>
      <c r="L14" s="13">
        <f>IF($A14="","",IF($D14="","",$D14-$J14))</f>
        <v/>
      </c>
      <c r="M14" s="10">
        <f>IF($A14="","",IF(OR($L14="",$E14=""),"",$L14*$E14))</f>
        <v/>
      </c>
      <c r="N14" s="14">
        <f>IF($A14="","",IF($D14="","",IF($J14&gt;=$D14,"Received",IF($J14&gt;0,"Part received","Open"))))</f>
        <v/>
      </c>
      <c r="O14" s="13">
        <f>IF($A14="","",IF($L14="","",IF($L14&lt;=0,"",IF($I14="","",MAX(0,TODAY()-$I14)))))</f>
        <v/>
      </c>
      <c r="P14" s="13">
        <f>IF($A14="","",IFERROR(RIGHT($A14,4)*1,""))</f>
        <v/>
      </c>
      <c r="Q14" s="13">
        <f>IF($A14="","",COUNTIFS($A$5:$A14,$A14))</f>
        <v/>
      </c>
      <c r="R14" s="14">
        <f>IF($A14="","",$A14&amp;"|"&amp;$Q14)</f>
        <v/>
      </c>
      <c r="S14" s="13">
        <f>IF($A14="","",IF($Q14=1,MAX($S$4:$S13)+1,""))</f>
        <v/>
      </c>
      <c r="T14" s="13">
        <f>IF($S14="","",IF(SUMIFS($L$5:$L$204,$A$5:$A$204,$A14)&gt;0,1,0))</f>
        <v/>
      </c>
    </row>
    <row r="15">
      <c r="A15" s="7" t="n"/>
      <c r="B15" s="7" t="n"/>
      <c r="C15" s="7" t="n"/>
      <c r="D15" s="8" t="n"/>
      <c r="E15" s="9" t="n"/>
      <c r="F15" s="10">
        <f>IF($A15="","",IF(OR($D15="",$E15=""),"",$D15*$E15))</f>
        <v/>
      </c>
      <c r="G15" s="7" t="n"/>
      <c r="H15" s="11" t="n"/>
      <c r="I15" s="12">
        <f>IF($A15="","",IF($H15="","",$H15+IFERROR(VLOOKUP($B15,Suppliers!$A$5:$I$54,7,FALSE),0)))</f>
        <v/>
      </c>
      <c r="J15" s="8" t="n"/>
      <c r="K15" s="11" t="n"/>
      <c r="L15" s="13">
        <f>IF($A15="","",IF($D15="","",$D15-$J15))</f>
        <v/>
      </c>
      <c r="M15" s="10">
        <f>IF($A15="","",IF(OR($L15="",$E15=""),"",$L15*$E15))</f>
        <v/>
      </c>
      <c r="N15" s="14">
        <f>IF($A15="","",IF($D15="","",IF($J15&gt;=$D15,"Received",IF($J15&gt;0,"Part received","Open"))))</f>
        <v/>
      </c>
      <c r="O15" s="13">
        <f>IF($A15="","",IF($L15="","",IF($L15&lt;=0,"",IF($I15="","",MAX(0,TODAY()-$I15)))))</f>
        <v/>
      </c>
      <c r="P15" s="13">
        <f>IF($A15="","",IFERROR(RIGHT($A15,4)*1,""))</f>
        <v/>
      </c>
      <c r="Q15" s="13">
        <f>IF($A15="","",COUNTIFS($A$5:$A15,$A15))</f>
        <v/>
      </c>
      <c r="R15" s="14">
        <f>IF($A15="","",$A15&amp;"|"&amp;$Q15)</f>
        <v/>
      </c>
      <c r="S15" s="13">
        <f>IF($A15="","",IF($Q15=1,MAX($S$4:$S14)+1,""))</f>
        <v/>
      </c>
      <c r="T15" s="13">
        <f>IF($S15="","",IF(SUMIFS($L$5:$L$204,$A$5:$A$204,$A15)&gt;0,1,0))</f>
        <v/>
      </c>
    </row>
    <row r="16">
      <c r="A16" s="7" t="n"/>
      <c r="B16" s="7" t="n"/>
      <c r="C16" s="7" t="n"/>
      <c r="D16" s="8" t="n"/>
      <c r="E16" s="9" t="n"/>
      <c r="F16" s="10">
        <f>IF($A16="","",IF(OR($D16="",$E16=""),"",$D16*$E16))</f>
        <v/>
      </c>
      <c r="G16" s="7" t="n"/>
      <c r="H16" s="11" t="n"/>
      <c r="I16" s="12">
        <f>IF($A16="","",IF($H16="","",$H16+IFERROR(VLOOKUP($B16,Suppliers!$A$5:$I$54,7,FALSE),0)))</f>
        <v/>
      </c>
      <c r="J16" s="8" t="n"/>
      <c r="K16" s="11" t="n"/>
      <c r="L16" s="13">
        <f>IF($A16="","",IF($D16="","",$D16-$J16))</f>
        <v/>
      </c>
      <c r="M16" s="10">
        <f>IF($A16="","",IF(OR($L16="",$E16=""),"",$L16*$E16))</f>
        <v/>
      </c>
      <c r="N16" s="14">
        <f>IF($A16="","",IF($D16="","",IF($J16&gt;=$D16,"Received",IF($J16&gt;0,"Part received","Open"))))</f>
        <v/>
      </c>
      <c r="O16" s="13">
        <f>IF($A16="","",IF($L16="","",IF($L16&lt;=0,"",IF($I16="","",MAX(0,TODAY()-$I16)))))</f>
        <v/>
      </c>
      <c r="P16" s="13">
        <f>IF($A16="","",IFERROR(RIGHT($A16,4)*1,""))</f>
        <v/>
      </c>
      <c r="Q16" s="13">
        <f>IF($A16="","",COUNTIFS($A$5:$A16,$A16))</f>
        <v/>
      </c>
      <c r="R16" s="14">
        <f>IF($A16="","",$A16&amp;"|"&amp;$Q16)</f>
        <v/>
      </c>
      <c r="S16" s="13">
        <f>IF($A16="","",IF($Q16=1,MAX($S$4:$S15)+1,""))</f>
        <v/>
      </c>
      <c r="T16" s="13">
        <f>IF($S16="","",IF(SUMIFS($L$5:$L$204,$A$5:$A$204,$A16)&gt;0,1,0))</f>
        <v/>
      </c>
    </row>
    <row r="17">
      <c r="A17" s="7" t="n"/>
      <c r="B17" s="7" t="n"/>
      <c r="C17" s="7" t="n"/>
      <c r="D17" s="8" t="n"/>
      <c r="E17" s="9" t="n"/>
      <c r="F17" s="10">
        <f>IF($A17="","",IF(OR($D17="",$E17=""),"",$D17*$E17))</f>
        <v/>
      </c>
      <c r="G17" s="7" t="n"/>
      <c r="H17" s="11" t="n"/>
      <c r="I17" s="12">
        <f>IF($A17="","",IF($H17="","",$H17+IFERROR(VLOOKUP($B17,Suppliers!$A$5:$I$54,7,FALSE),0)))</f>
        <v/>
      </c>
      <c r="J17" s="8" t="n"/>
      <c r="K17" s="11" t="n"/>
      <c r="L17" s="13">
        <f>IF($A17="","",IF($D17="","",$D17-$J17))</f>
        <v/>
      </c>
      <c r="M17" s="10">
        <f>IF($A17="","",IF(OR($L17="",$E17=""),"",$L17*$E17))</f>
        <v/>
      </c>
      <c r="N17" s="14">
        <f>IF($A17="","",IF($D17="","",IF($J17&gt;=$D17,"Received",IF($J17&gt;0,"Part received","Open"))))</f>
        <v/>
      </c>
      <c r="O17" s="13">
        <f>IF($A17="","",IF($L17="","",IF($L17&lt;=0,"",IF($I17="","",MAX(0,TODAY()-$I17)))))</f>
        <v/>
      </c>
      <c r="P17" s="13">
        <f>IF($A17="","",IFERROR(RIGHT($A17,4)*1,""))</f>
        <v/>
      </c>
      <c r="Q17" s="13">
        <f>IF($A17="","",COUNTIFS($A$5:$A17,$A17))</f>
        <v/>
      </c>
      <c r="R17" s="14">
        <f>IF($A17="","",$A17&amp;"|"&amp;$Q17)</f>
        <v/>
      </c>
      <c r="S17" s="13">
        <f>IF($A17="","",IF($Q17=1,MAX($S$4:$S16)+1,""))</f>
        <v/>
      </c>
      <c r="T17" s="13">
        <f>IF($S17="","",IF(SUMIFS($L$5:$L$204,$A$5:$A$204,$A17)&gt;0,1,0))</f>
        <v/>
      </c>
    </row>
    <row r="18">
      <c r="A18" s="7" t="n"/>
      <c r="B18" s="7" t="n"/>
      <c r="C18" s="7" t="n"/>
      <c r="D18" s="8" t="n"/>
      <c r="E18" s="9" t="n"/>
      <c r="F18" s="10">
        <f>IF($A18="","",IF(OR($D18="",$E18=""),"",$D18*$E18))</f>
        <v/>
      </c>
      <c r="G18" s="7" t="n"/>
      <c r="H18" s="11" t="n"/>
      <c r="I18" s="12">
        <f>IF($A18="","",IF($H18="","",$H18+IFERROR(VLOOKUP($B18,Suppliers!$A$5:$I$54,7,FALSE),0)))</f>
        <v/>
      </c>
      <c r="J18" s="8" t="n"/>
      <c r="K18" s="11" t="n"/>
      <c r="L18" s="13">
        <f>IF($A18="","",IF($D18="","",$D18-$J18))</f>
        <v/>
      </c>
      <c r="M18" s="10">
        <f>IF($A18="","",IF(OR($L18="",$E18=""),"",$L18*$E18))</f>
        <v/>
      </c>
      <c r="N18" s="14">
        <f>IF($A18="","",IF($D18="","",IF($J18&gt;=$D18,"Received",IF($J18&gt;0,"Part received","Open"))))</f>
        <v/>
      </c>
      <c r="O18" s="13">
        <f>IF($A18="","",IF($L18="","",IF($L18&lt;=0,"",IF($I18="","",MAX(0,TODAY()-$I18)))))</f>
        <v/>
      </c>
      <c r="P18" s="13">
        <f>IF($A18="","",IFERROR(RIGHT($A18,4)*1,""))</f>
        <v/>
      </c>
      <c r="Q18" s="13">
        <f>IF($A18="","",COUNTIFS($A$5:$A18,$A18))</f>
        <v/>
      </c>
      <c r="R18" s="14">
        <f>IF($A18="","",$A18&amp;"|"&amp;$Q18)</f>
        <v/>
      </c>
      <c r="S18" s="13">
        <f>IF($A18="","",IF($Q18=1,MAX($S$4:$S17)+1,""))</f>
        <v/>
      </c>
      <c r="T18" s="13">
        <f>IF($S18="","",IF(SUMIFS($L$5:$L$204,$A$5:$A$204,$A18)&gt;0,1,0))</f>
        <v/>
      </c>
    </row>
    <row r="19">
      <c r="A19" s="7" t="n"/>
      <c r="B19" s="7" t="n"/>
      <c r="C19" s="7" t="n"/>
      <c r="D19" s="8" t="n"/>
      <c r="E19" s="9" t="n"/>
      <c r="F19" s="10">
        <f>IF($A19="","",IF(OR($D19="",$E19=""),"",$D19*$E19))</f>
        <v/>
      </c>
      <c r="G19" s="7" t="n"/>
      <c r="H19" s="11" t="n"/>
      <c r="I19" s="12">
        <f>IF($A19="","",IF($H19="","",$H19+IFERROR(VLOOKUP($B19,Suppliers!$A$5:$I$54,7,FALSE),0)))</f>
        <v/>
      </c>
      <c r="J19" s="8" t="n"/>
      <c r="K19" s="11" t="n"/>
      <c r="L19" s="13">
        <f>IF($A19="","",IF($D19="","",$D19-$J19))</f>
        <v/>
      </c>
      <c r="M19" s="10">
        <f>IF($A19="","",IF(OR($L19="",$E19=""),"",$L19*$E19))</f>
        <v/>
      </c>
      <c r="N19" s="14">
        <f>IF($A19="","",IF($D19="","",IF($J19&gt;=$D19,"Received",IF($J19&gt;0,"Part received","Open"))))</f>
        <v/>
      </c>
      <c r="O19" s="13">
        <f>IF($A19="","",IF($L19="","",IF($L19&lt;=0,"",IF($I19="","",MAX(0,TODAY()-$I19)))))</f>
        <v/>
      </c>
      <c r="P19" s="13">
        <f>IF($A19="","",IFERROR(RIGHT($A19,4)*1,""))</f>
        <v/>
      </c>
      <c r="Q19" s="13">
        <f>IF($A19="","",COUNTIFS($A$5:$A19,$A19))</f>
        <v/>
      </c>
      <c r="R19" s="14">
        <f>IF($A19="","",$A19&amp;"|"&amp;$Q19)</f>
        <v/>
      </c>
      <c r="S19" s="13">
        <f>IF($A19="","",IF($Q19=1,MAX($S$4:$S18)+1,""))</f>
        <v/>
      </c>
      <c r="T19" s="13">
        <f>IF($S19="","",IF(SUMIFS($L$5:$L$204,$A$5:$A$204,$A19)&gt;0,1,0))</f>
        <v/>
      </c>
    </row>
    <row r="20">
      <c r="A20" s="7" t="n"/>
      <c r="B20" s="7" t="n"/>
      <c r="C20" s="7" t="n"/>
      <c r="D20" s="8" t="n"/>
      <c r="E20" s="9" t="n"/>
      <c r="F20" s="10">
        <f>IF($A20="","",IF(OR($D20="",$E20=""),"",$D20*$E20))</f>
        <v/>
      </c>
      <c r="G20" s="7" t="n"/>
      <c r="H20" s="11" t="n"/>
      <c r="I20" s="12">
        <f>IF($A20="","",IF($H20="","",$H20+IFERROR(VLOOKUP($B20,Suppliers!$A$5:$I$54,7,FALSE),0)))</f>
        <v/>
      </c>
      <c r="J20" s="8" t="n"/>
      <c r="K20" s="11" t="n"/>
      <c r="L20" s="13">
        <f>IF($A20="","",IF($D20="","",$D20-$J20))</f>
        <v/>
      </c>
      <c r="M20" s="10">
        <f>IF($A20="","",IF(OR($L20="",$E20=""),"",$L20*$E20))</f>
        <v/>
      </c>
      <c r="N20" s="14">
        <f>IF($A20="","",IF($D20="","",IF($J20&gt;=$D20,"Received",IF($J20&gt;0,"Part received","Open"))))</f>
        <v/>
      </c>
      <c r="O20" s="13">
        <f>IF($A20="","",IF($L20="","",IF($L20&lt;=0,"",IF($I20="","",MAX(0,TODAY()-$I20)))))</f>
        <v/>
      </c>
      <c r="P20" s="13">
        <f>IF($A20="","",IFERROR(RIGHT($A20,4)*1,""))</f>
        <v/>
      </c>
      <c r="Q20" s="13">
        <f>IF($A20="","",COUNTIFS($A$5:$A20,$A20))</f>
        <v/>
      </c>
      <c r="R20" s="14">
        <f>IF($A20="","",$A20&amp;"|"&amp;$Q20)</f>
        <v/>
      </c>
      <c r="S20" s="13">
        <f>IF($A20="","",IF($Q20=1,MAX($S$4:$S19)+1,""))</f>
        <v/>
      </c>
      <c r="T20" s="13">
        <f>IF($S20="","",IF(SUMIFS($L$5:$L$204,$A$5:$A$204,$A20)&gt;0,1,0))</f>
        <v/>
      </c>
    </row>
    <row r="21">
      <c r="A21" s="7" t="n"/>
      <c r="B21" s="7" t="n"/>
      <c r="C21" s="7" t="n"/>
      <c r="D21" s="8" t="n"/>
      <c r="E21" s="9" t="n"/>
      <c r="F21" s="10">
        <f>IF($A21="","",IF(OR($D21="",$E21=""),"",$D21*$E21))</f>
        <v/>
      </c>
      <c r="G21" s="7" t="n"/>
      <c r="H21" s="11" t="n"/>
      <c r="I21" s="12">
        <f>IF($A21="","",IF($H21="","",$H21+IFERROR(VLOOKUP($B21,Suppliers!$A$5:$I$54,7,FALSE),0)))</f>
        <v/>
      </c>
      <c r="J21" s="8" t="n"/>
      <c r="K21" s="11" t="n"/>
      <c r="L21" s="13">
        <f>IF($A21="","",IF($D21="","",$D21-$J21))</f>
        <v/>
      </c>
      <c r="M21" s="10">
        <f>IF($A21="","",IF(OR($L21="",$E21=""),"",$L21*$E21))</f>
        <v/>
      </c>
      <c r="N21" s="14">
        <f>IF($A21="","",IF($D21="","",IF($J21&gt;=$D21,"Received",IF($J21&gt;0,"Part received","Open"))))</f>
        <v/>
      </c>
      <c r="O21" s="13">
        <f>IF($A21="","",IF($L21="","",IF($L21&lt;=0,"",IF($I21="","",MAX(0,TODAY()-$I21)))))</f>
        <v/>
      </c>
      <c r="P21" s="13">
        <f>IF($A21="","",IFERROR(RIGHT($A21,4)*1,""))</f>
        <v/>
      </c>
      <c r="Q21" s="13">
        <f>IF($A21="","",COUNTIFS($A$5:$A21,$A21))</f>
        <v/>
      </c>
      <c r="R21" s="14">
        <f>IF($A21="","",$A21&amp;"|"&amp;$Q21)</f>
        <v/>
      </c>
      <c r="S21" s="13">
        <f>IF($A21="","",IF($Q21=1,MAX($S$4:$S20)+1,""))</f>
        <v/>
      </c>
      <c r="T21" s="13">
        <f>IF($S21="","",IF(SUMIFS($L$5:$L$204,$A$5:$A$204,$A21)&gt;0,1,0))</f>
        <v/>
      </c>
    </row>
    <row r="22">
      <c r="A22" s="7" t="n"/>
      <c r="B22" s="7" t="n"/>
      <c r="C22" s="7" t="n"/>
      <c r="D22" s="8" t="n"/>
      <c r="E22" s="9" t="n"/>
      <c r="F22" s="10">
        <f>IF($A22="","",IF(OR($D22="",$E22=""),"",$D22*$E22))</f>
        <v/>
      </c>
      <c r="G22" s="7" t="n"/>
      <c r="H22" s="11" t="n"/>
      <c r="I22" s="12">
        <f>IF($A22="","",IF($H22="","",$H22+IFERROR(VLOOKUP($B22,Suppliers!$A$5:$I$54,7,FALSE),0)))</f>
        <v/>
      </c>
      <c r="J22" s="8" t="n"/>
      <c r="K22" s="11" t="n"/>
      <c r="L22" s="13">
        <f>IF($A22="","",IF($D22="","",$D22-$J22))</f>
        <v/>
      </c>
      <c r="M22" s="10">
        <f>IF($A22="","",IF(OR($L22="",$E22=""),"",$L22*$E22))</f>
        <v/>
      </c>
      <c r="N22" s="14">
        <f>IF($A22="","",IF($D22="","",IF($J22&gt;=$D22,"Received",IF($J22&gt;0,"Part received","Open"))))</f>
        <v/>
      </c>
      <c r="O22" s="13">
        <f>IF($A22="","",IF($L22="","",IF($L22&lt;=0,"",IF($I22="","",MAX(0,TODAY()-$I22)))))</f>
        <v/>
      </c>
      <c r="P22" s="13">
        <f>IF($A22="","",IFERROR(RIGHT($A22,4)*1,""))</f>
        <v/>
      </c>
      <c r="Q22" s="13">
        <f>IF($A22="","",COUNTIFS($A$5:$A22,$A22))</f>
        <v/>
      </c>
      <c r="R22" s="14">
        <f>IF($A22="","",$A22&amp;"|"&amp;$Q22)</f>
        <v/>
      </c>
      <c r="S22" s="13">
        <f>IF($A22="","",IF($Q22=1,MAX($S$4:$S21)+1,""))</f>
        <v/>
      </c>
      <c r="T22" s="13">
        <f>IF($S22="","",IF(SUMIFS($L$5:$L$204,$A$5:$A$204,$A22)&gt;0,1,0))</f>
        <v/>
      </c>
    </row>
    <row r="23">
      <c r="A23" s="7" t="n"/>
      <c r="B23" s="7" t="n"/>
      <c r="C23" s="7" t="n"/>
      <c r="D23" s="8" t="n"/>
      <c r="E23" s="9" t="n"/>
      <c r="F23" s="10">
        <f>IF($A23="","",IF(OR($D23="",$E23=""),"",$D23*$E23))</f>
        <v/>
      </c>
      <c r="G23" s="7" t="n"/>
      <c r="H23" s="11" t="n"/>
      <c r="I23" s="12">
        <f>IF($A23="","",IF($H23="","",$H23+IFERROR(VLOOKUP($B23,Suppliers!$A$5:$I$54,7,FALSE),0)))</f>
        <v/>
      </c>
      <c r="J23" s="8" t="n"/>
      <c r="K23" s="11" t="n"/>
      <c r="L23" s="13">
        <f>IF($A23="","",IF($D23="","",$D23-$J23))</f>
        <v/>
      </c>
      <c r="M23" s="10">
        <f>IF($A23="","",IF(OR($L23="",$E23=""),"",$L23*$E23))</f>
        <v/>
      </c>
      <c r="N23" s="14">
        <f>IF($A23="","",IF($D23="","",IF($J23&gt;=$D23,"Received",IF($J23&gt;0,"Part received","Open"))))</f>
        <v/>
      </c>
      <c r="O23" s="13">
        <f>IF($A23="","",IF($L23="","",IF($L23&lt;=0,"",IF($I23="","",MAX(0,TODAY()-$I23)))))</f>
        <v/>
      </c>
      <c r="P23" s="13">
        <f>IF($A23="","",IFERROR(RIGHT($A23,4)*1,""))</f>
        <v/>
      </c>
      <c r="Q23" s="13">
        <f>IF($A23="","",COUNTIFS($A$5:$A23,$A23))</f>
        <v/>
      </c>
      <c r="R23" s="14">
        <f>IF($A23="","",$A23&amp;"|"&amp;$Q23)</f>
        <v/>
      </c>
      <c r="S23" s="13">
        <f>IF($A23="","",IF($Q23=1,MAX($S$4:$S22)+1,""))</f>
        <v/>
      </c>
      <c r="T23" s="13">
        <f>IF($S23="","",IF(SUMIFS($L$5:$L$204,$A$5:$A$204,$A23)&gt;0,1,0))</f>
        <v/>
      </c>
    </row>
    <row r="24">
      <c r="A24" s="7" t="n"/>
      <c r="B24" s="7" t="n"/>
      <c r="C24" s="7" t="n"/>
      <c r="D24" s="8" t="n"/>
      <c r="E24" s="9" t="n"/>
      <c r="F24" s="10">
        <f>IF($A24="","",IF(OR($D24="",$E24=""),"",$D24*$E24))</f>
        <v/>
      </c>
      <c r="G24" s="7" t="n"/>
      <c r="H24" s="11" t="n"/>
      <c r="I24" s="12">
        <f>IF($A24="","",IF($H24="","",$H24+IFERROR(VLOOKUP($B24,Suppliers!$A$5:$I$54,7,FALSE),0)))</f>
        <v/>
      </c>
      <c r="J24" s="8" t="n"/>
      <c r="K24" s="11" t="n"/>
      <c r="L24" s="13">
        <f>IF($A24="","",IF($D24="","",$D24-$J24))</f>
        <v/>
      </c>
      <c r="M24" s="10">
        <f>IF($A24="","",IF(OR($L24="",$E24=""),"",$L24*$E24))</f>
        <v/>
      </c>
      <c r="N24" s="14">
        <f>IF($A24="","",IF($D24="","",IF($J24&gt;=$D24,"Received",IF($J24&gt;0,"Part received","Open"))))</f>
        <v/>
      </c>
      <c r="O24" s="13">
        <f>IF($A24="","",IF($L24="","",IF($L24&lt;=0,"",IF($I24="","",MAX(0,TODAY()-$I24)))))</f>
        <v/>
      </c>
      <c r="P24" s="13">
        <f>IF($A24="","",IFERROR(RIGHT($A24,4)*1,""))</f>
        <v/>
      </c>
      <c r="Q24" s="13">
        <f>IF($A24="","",COUNTIFS($A$5:$A24,$A24))</f>
        <v/>
      </c>
      <c r="R24" s="14">
        <f>IF($A24="","",$A24&amp;"|"&amp;$Q24)</f>
        <v/>
      </c>
      <c r="S24" s="13">
        <f>IF($A24="","",IF($Q24=1,MAX($S$4:$S23)+1,""))</f>
        <v/>
      </c>
      <c r="T24" s="13">
        <f>IF($S24="","",IF(SUMIFS($L$5:$L$204,$A$5:$A$204,$A24)&gt;0,1,0))</f>
        <v/>
      </c>
    </row>
    <row r="25">
      <c r="A25" s="7" t="n"/>
      <c r="B25" s="7" t="n"/>
      <c r="C25" s="7" t="n"/>
      <c r="D25" s="8" t="n"/>
      <c r="E25" s="9" t="n"/>
      <c r="F25" s="10">
        <f>IF($A25="","",IF(OR($D25="",$E25=""),"",$D25*$E25))</f>
        <v/>
      </c>
      <c r="G25" s="7" t="n"/>
      <c r="H25" s="11" t="n"/>
      <c r="I25" s="12">
        <f>IF($A25="","",IF($H25="","",$H25+IFERROR(VLOOKUP($B25,Suppliers!$A$5:$I$54,7,FALSE),0)))</f>
        <v/>
      </c>
      <c r="J25" s="8" t="n"/>
      <c r="K25" s="11" t="n"/>
      <c r="L25" s="13">
        <f>IF($A25="","",IF($D25="","",$D25-$J25))</f>
        <v/>
      </c>
      <c r="M25" s="10">
        <f>IF($A25="","",IF(OR($L25="",$E25=""),"",$L25*$E25))</f>
        <v/>
      </c>
      <c r="N25" s="14">
        <f>IF($A25="","",IF($D25="","",IF($J25&gt;=$D25,"Received",IF($J25&gt;0,"Part received","Open"))))</f>
        <v/>
      </c>
      <c r="O25" s="13">
        <f>IF($A25="","",IF($L25="","",IF($L25&lt;=0,"",IF($I25="","",MAX(0,TODAY()-$I25)))))</f>
        <v/>
      </c>
      <c r="P25" s="13">
        <f>IF($A25="","",IFERROR(RIGHT($A25,4)*1,""))</f>
        <v/>
      </c>
      <c r="Q25" s="13">
        <f>IF($A25="","",COUNTIFS($A$5:$A25,$A25))</f>
        <v/>
      </c>
      <c r="R25" s="14">
        <f>IF($A25="","",$A25&amp;"|"&amp;$Q25)</f>
        <v/>
      </c>
      <c r="S25" s="13">
        <f>IF($A25="","",IF($Q25=1,MAX($S$4:$S24)+1,""))</f>
        <v/>
      </c>
      <c r="T25" s="13">
        <f>IF($S25="","",IF(SUMIFS($L$5:$L$204,$A$5:$A$204,$A25)&gt;0,1,0))</f>
        <v/>
      </c>
    </row>
    <row r="26">
      <c r="A26" s="7" t="n"/>
      <c r="B26" s="7" t="n"/>
      <c r="C26" s="7" t="n"/>
      <c r="D26" s="8" t="n"/>
      <c r="E26" s="9" t="n"/>
      <c r="F26" s="10">
        <f>IF($A26="","",IF(OR($D26="",$E26=""),"",$D26*$E26))</f>
        <v/>
      </c>
      <c r="G26" s="7" t="n"/>
      <c r="H26" s="11" t="n"/>
      <c r="I26" s="12">
        <f>IF($A26="","",IF($H26="","",$H26+IFERROR(VLOOKUP($B26,Suppliers!$A$5:$I$54,7,FALSE),0)))</f>
        <v/>
      </c>
      <c r="J26" s="8" t="n"/>
      <c r="K26" s="11" t="n"/>
      <c r="L26" s="13">
        <f>IF($A26="","",IF($D26="","",$D26-$J26))</f>
        <v/>
      </c>
      <c r="M26" s="10">
        <f>IF($A26="","",IF(OR($L26="",$E26=""),"",$L26*$E26))</f>
        <v/>
      </c>
      <c r="N26" s="14">
        <f>IF($A26="","",IF($D26="","",IF($J26&gt;=$D26,"Received",IF($J26&gt;0,"Part received","Open"))))</f>
        <v/>
      </c>
      <c r="O26" s="13">
        <f>IF($A26="","",IF($L26="","",IF($L26&lt;=0,"",IF($I26="","",MAX(0,TODAY()-$I26)))))</f>
        <v/>
      </c>
      <c r="P26" s="13">
        <f>IF($A26="","",IFERROR(RIGHT($A26,4)*1,""))</f>
        <v/>
      </c>
      <c r="Q26" s="13">
        <f>IF($A26="","",COUNTIFS($A$5:$A26,$A26))</f>
        <v/>
      </c>
      <c r="R26" s="14">
        <f>IF($A26="","",$A26&amp;"|"&amp;$Q26)</f>
        <v/>
      </c>
      <c r="S26" s="13">
        <f>IF($A26="","",IF($Q26=1,MAX($S$4:$S25)+1,""))</f>
        <v/>
      </c>
      <c r="T26" s="13">
        <f>IF($S26="","",IF(SUMIFS($L$5:$L$204,$A$5:$A$204,$A26)&gt;0,1,0))</f>
        <v/>
      </c>
    </row>
    <row r="27">
      <c r="A27" s="7" t="n"/>
      <c r="B27" s="7" t="n"/>
      <c r="C27" s="7" t="n"/>
      <c r="D27" s="8" t="n"/>
      <c r="E27" s="9" t="n"/>
      <c r="F27" s="10">
        <f>IF($A27="","",IF(OR($D27="",$E27=""),"",$D27*$E27))</f>
        <v/>
      </c>
      <c r="G27" s="7" t="n"/>
      <c r="H27" s="11" t="n"/>
      <c r="I27" s="12">
        <f>IF($A27="","",IF($H27="","",$H27+IFERROR(VLOOKUP($B27,Suppliers!$A$5:$I$54,7,FALSE),0)))</f>
        <v/>
      </c>
      <c r="J27" s="8" t="n"/>
      <c r="K27" s="11" t="n"/>
      <c r="L27" s="13">
        <f>IF($A27="","",IF($D27="","",$D27-$J27))</f>
        <v/>
      </c>
      <c r="M27" s="10">
        <f>IF($A27="","",IF(OR($L27="",$E27=""),"",$L27*$E27))</f>
        <v/>
      </c>
      <c r="N27" s="14">
        <f>IF($A27="","",IF($D27="","",IF($J27&gt;=$D27,"Received",IF($J27&gt;0,"Part received","Open"))))</f>
        <v/>
      </c>
      <c r="O27" s="13">
        <f>IF($A27="","",IF($L27="","",IF($L27&lt;=0,"",IF($I27="","",MAX(0,TODAY()-$I27)))))</f>
        <v/>
      </c>
      <c r="P27" s="13">
        <f>IF($A27="","",IFERROR(RIGHT($A27,4)*1,""))</f>
        <v/>
      </c>
      <c r="Q27" s="13">
        <f>IF($A27="","",COUNTIFS($A$5:$A27,$A27))</f>
        <v/>
      </c>
      <c r="R27" s="14">
        <f>IF($A27="","",$A27&amp;"|"&amp;$Q27)</f>
        <v/>
      </c>
      <c r="S27" s="13">
        <f>IF($A27="","",IF($Q27=1,MAX($S$4:$S26)+1,""))</f>
        <v/>
      </c>
      <c r="T27" s="13">
        <f>IF($S27="","",IF(SUMIFS($L$5:$L$204,$A$5:$A$204,$A27)&gt;0,1,0))</f>
        <v/>
      </c>
    </row>
    <row r="28">
      <c r="A28" s="7" t="n"/>
      <c r="B28" s="7" t="n"/>
      <c r="C28" s="7" t="n"/>
      <c r="D28" s="8" t="n"/>
      <c r="E28" s="9" t="n"/>
      <c r="F28" s="10">
        <f>IF($A28="","",IF(OR($D28="",$E28=""),"",$D28*$E28))</f>
        <v/>
      </c>
      <c r="G28" s="7" t="n"/>
      <c r="H28" s="11" t="n"/>
      <c r="I28" s="12">
        <f>IF($A28="","",IF($H28="","",$H28+IFERROR(VLOOKUP($B28,Suppliers!$A$5:$I$54,7,FALSE),0)))</f>
        <v/>
      </c>
      <c r="J28" s="8" t="n"/>
      <c r="K28" s="11" t="n"/>
      <c r="L28" s="13">
        <f>IF($A28="","",IF($D28="","",$D28-$J28))</f>
        <v/>
      </c>
      <c r="M28" s="10">
        <f>IF($A28="","",IF(OR($L28="",$E28=""),"",$L28*$E28))</f>
        <v/>
      </c>
      <c r="N28" s="14">
        <f>IF($A28="","",IF($D28="","",IF($J28&gt;=$D28,"Received",IF($J28&gt;0,"Part received","Open"))))</f>
        <v/>
      </c>
      <c r="O28" s="13">
        <f>IF($A28="","",IF($L28="","",IF($L28&lt;=0,"",IF($I28="","",MAX(0,TODAY()-$I28)))))</f>
        <v/>
      </c>
      <c r="P28" s="13">
        <f>IF($A28="","",IFERROR(RIGHT($A28,4)*1,""))</f>
        <v/>
      </c>
      <c r="Q28" s="13">
        <f>IF($A28="","",COUNTIFS($A$5:$A28,$A28))</f>
        <v/>
      </c>
      <c r="R28" s="14">
        <f>IF($A28="","",$A28&amp;"|"&amp;$Q28)</f>
        <v/>
      </c>
      <c r="S28" s="13">
        <f>IF($A28="","",IF($Q28=1,MAX($S$4:$S27)+1,""))</f>
        <v/>
      </c>
      <c r="T28" s="13">
        <f>IF($S28="","",IF(SUMIFS($L$5:$L$204,$A$5:$A$204,$A28)&gt;0,1,0))</f>
        <v/>
      </c>
    </row>
    <row r="29">
      <c r="A29" s="7" t="n"/>
      <c r="B29" s="7" t="n"/>
      <c r="C29" s="7" t="n"/>
      <c r="D29" s="8" t="n"/>
      <c r="E29" s="9" t="n"/>
      <c r="F29" s="10">
        <f>IF($A29="","",IF(OR($D29="",$E29=""),"",$D29*$E29))</f>
        <v/>
      </c>
      <c r="G29" s="7" t="n"/>
      <c r="H29" s="11" t="n"/>
      <c r="I29" s="12">
        <f>IF($A29="","",IF($H29="","",$H29+IFERROR(VLOOKUP($B29,Suppliers!$A$5:$I$54,7,FALSE),0)))</f>
        <v/>
      </c>
      <c r="J29" s="8" t="n"/>
      <c r="K29" s="11" t="n"/>
      <c r="L29" s="13">
        <f>IF($A29="","",IF($D29="","",$D29-$J29))</f>
        <v/>
      </c>
      <c r="M29" s="10">
        <f>IF($A29="","",IF(OR($L29="",$E29=""),"",$L29*$E29))</f>
        <v/>
      </c>
      <c r="N29" s="14">
        <f>IF($A29="","",IF($D29="","",IF($J29&gt;=$D29,"Received",IF($J29&gt;0,"Part received","Open"))))</f>
        <v/>
      </c>
      <c r="O29" s="13">
        <f>IF($A29="","",IF($L29="","",IF($L29&lt;=0,"",IF($I29="","",MAX(0,TODAY()-$I29)))))</f>
        <v/>
      </c>
      <c r="P29" s="13">
        <f>IF($A29="","",IFERROR(RIGHT($A29,4)*1,""))</f>
        <v/>
      </c>
      <c r="Q29" s="13">
        <f>IF($A29="","",COUNTIFS($A$5:$A29,$A29))</f>
        <v/>
      </c>
      <c r="R29" s="14">
        <f>IF($A29="","",$A29&amp;"|"&amp;$Q29)</f>
        <v/>
      </c>
      <c r="S29" s="13">
        <f>IF($A29="","",IF($Q29=1,MAX($S$4:$S28)+1,""))</f>
        <v/>
      </c>
      <c r="T29" s="13">
        <f>IF($S29="","",IF(SUMIFS($L$5:$L$204,$A$5:$A$204,$A29)&gt;0,1,0))</f>
        <v/>
      </c>
    </row>
    <row r="30">
      <c r="A30" s="7" t="n"/>
      <c r="B30" s="7" t="n"/>
      <c r="C30" s="7" t="n"/>
      <c r="D30" s="8" t="n"/>
      <c r="E30" s="9" t="n"/>
      <c r="F30" s="10">
        <f>IF($A30="","",IF(OR($D30="",$E30=""),"",$D30*$E30))</f>
        <v/>
      </c>
      <c r="G30" s="7" t="n"/>
      <c r="H30" s="11" t="n"/>
      <c r="I30" s="12">
        <f>IF($A30="","",IF($H30="","",$H30+IFERROR(VLOOKUP($B30,Suppliers!$A$5:$I$54,7,FALSE),0)))</f>
        <v/>
      </c>
      <c r="J30" s="8" t="n"/>
      <c r="K30" s="11" t="n"/>
      <c r="L30" s="13">
        <f>IF($A30="","",IF($D30="","",$D30-$J30))</f>
        <v/>
      </c>
      <c r="M30" s="10">
        <f>IF($A30="","",IF(OR($L30="",$E30=""),"",$L30*$E30))</f>
        <v/>
      </c>
      <c r="N30" s="14">
        <f>IF($A30="","",IF($D30="","",IF($J30&gt;=$D30,"Received",IF($J30&gt;0,"Part received","Open"))))</f>
        <v/>
      </c>
      <c r="O30" s="13">
        <f>IF($A30="","",IF($L30="","",IF($L30&lt;=0,"",IF($I30="","",MAX(0,TODAY()-$I30)))))</f>
        <v/>
      </c>
      <c r="P30" s="13">
        <f>IF($A30="","",IFERROR(RIGHT($A30,4)*1,""))</f>
        <v/>
      </c>
      <c r="Q30" s="13">
        <f>IF($A30="","",COUNTIFS($A$5:$A30,$A30))</f>
        <v/>
      </c>
      <c r="R30" s="14">
        <f>IF($A30="","",$A30&amp;"|"&amp;$Q30)</f>
        <v/>
      </c>
      <c r="S30" s="13">
        <f>IF($A30="","",IF($Q30=1,MAX($S$4:$S29)+1,""))</f>
        <v/>
      </c>
      <c r="T30" s="13">
        <f>IF($S30="","",IF(SUMIFS($L$5:$L$204,$A$5:$A$204,$A30)&gt;0,1,0))</f>
        <v/>
      </c>
    </row>
    <row r="31">
      <c r="A31" s="7" t="n"/>
      <c r="B31" s="7" t="n"/>
      <c r="C31" s="7" t="n"/>
      <c r="D31" s="8" t="n"/>
      <c r="E31" s="9" t="n"/>
      <c r="F31" s="10">
        <f>IF($A31="","",IF(OR($D31="",$E31=""),"",$D31*$E31))</f>
        <v/>
      </c>
      <c r="G31" s="7" t="n"/>
      <c r="H31" s="11" t="n"/>
      <c r="I31" s="12">
        <f>IF($A31="","",IF($H31="","",$H31+IFERROR(VLOOKUP($B31,Suppliers!$A$5:$I$54,7,FALSE),0)))</f>
        <v/>
      </c>
      <c r="J31" s="8" t="n"/>
      <c r="K31" s="11" t="n"/>
      <c r="L31" s="13">
        <f>IF($A31="","",IF($D31="","",$D31-$J31))</f>
        <v/>
      </c>
      <c r="M31" s="10">
        <f>IF($A31="","",IF(OR($L31="",$E31=""),"",$L31*$E31))</f>
        <v/>
      </c>
      <c r="N31" s="14">
        <f>IF($A31="","",IF($D31="","",IF($J31&gt;=$D31,"Received",IF($J31&gt;0,"Part received","Open"))))</f>
        <v/>
      </c>
      <c r="O31" s="13">
        <f>IF($A31="","",IF($L31="","",IF($L31&lt;=0,"",IF($I31="","",MAX(0,TODAY()-$I31)))))</f>
        <v/>
      </c>
      <c r="P31" s="13">
        <f>IF($A31="","",IFERROR(RIGHT($A31,4)*1,""))</f>
        <v/>
      </c>
      <c r="Q31" s="13">
        <f>IF($A31="","",COUNTIFS($A$5:$A31,$A31))</f>
        <v/>
      </c>
      <c r="R31" s="14">
        <f>IF($A31="","",$A31&amp;"|"&amp;$Q31)</f>
        <v/>
      </c>
      <c r="S31" s="13">
        <f>IF($A31="","",IF($Q31=1,MAX($S$4:$S30)+1,""))</f>
        <v/>
      </c>
      <c r="T31" s="13">
        <f>IF($S31="","",IF(SUMIFS($L$5:$L$204,$A$5:$A$204,$A31)&gt;0,1,0))</f>
        <v/>
      </c>
    </row>
    <row r="32">
      <c r="A32" s="7" t="n"/>
      <c r="B32" s="7" t="n"/>
      <c r="C32" s="7" t="n"/>
      <c r="D32" s="8" t="n"/>
      <c r="E32" s="9" t="n"/>
      <c r="F32" s="10">
        <f>IF($A32="","",IF(OR($D32="",$E32=""),"",$D32*$E32))</f>
        <v/>
      </c>
      <c r="G32" s="7" t="n"/>
      <c r="H32" s="11" t="n"/>
      <c r="I32" s="12">
        <f>IF($A32="","",IF($H32="","",$H32+IFERROR(VLOOKUP($B32,Suppliers!$A$5:$I$54,7,FALSE),0)))</f>
        <v/>
      </c>
      <c r="J32" s="8" t="n"/>
      <c r="K32" s="11" t="n"/>
      <c r="L32" s="13">
        <f>IF($A32="","",IF($D32="","",$D32-$J32))</f>
        <v/>
      </c>
      <c r="M32" s="10">
        <f>IF($A32="","",IF(OR($L32="",$E32=""),"",$L32*$E32))</f>
        <v/>
      </c>
      <c r="N32" s="14">
        <f>IF($A32="","",IF($D32="","",IF($J32&gt;=$D32,"Received",IF($J32&gt;0,"Part received","Open"))))</f>
        <v/>
      </c>
      <c r="O32" s="13">
        <f>IF($A32="","",IF($L32="","",IF($L32&lt;=0,"",IF($I32="","",MAX(0,TODAY()-$I32)))))</f>
        <v/>
      </c>
      <c r="P32" s="13">
        <f>IF($A32="","",IFERROR(RIGHT($A32,4)*1,""))</f>
        <v/>
      </c>
      <c r="Q32" s="13">
        <f>IF($A32="","",COUNTIFS($A$5:$A32,$A32))</f>
        <v/>
      </c>
      <c r="R32" s="14">
        <f>IF($A32="","",$A32&amp;"|"&amp;$Q32)</f>
        <v/>
      </c>
      <c r="S32" s="13">
        <f>IF($A32="","",IF($Q32=1,MAX($S$4:$S31)+1,""))</f>
        <v/>
      </c>
      <c r="T32" s="13">
        <f>IF($S32="","",IF(SUMIFS($L$5:$L$204,$A$5:$A$204,$A32)&gt;0,1,0))</f>
        <v/>
      </c>
    </row>
    <row r="33">
      <c r="A33" s="7" t="n"/>
      <c r="B33" s="7" t="n"/>
      <c r="C33" s="7" t="n"/>
      <c r="D33" s="8" t="n"/>
      <c r="E33" s="9" t="n"/>
      <c r="F33" s="10">
        <f>IF($A33="","",IF(OR($D33="",$E33=""),"",$D33*$E33))</f>
        <v/>
      </c>
      <c r="G33" s="7" t="n"/>
      <c r="H33" s="11" t="n"/>
      <c r="I33" s="12">
        <f>IF($A33="","",IF($H33="","",$H33+IFERROR(VLOOKUP($B33,Suppliers!$A$5:$I$54,7,FALSE),0)))</f>
        <v/>
      </c>
      <c r="J33" s="8" t="n"/>
      <c r="K33" s="11" t="n"/>
      <c r="L33" s="13">
        <f>IF($A33="","",IF($D33="","",$D33-$J33))</f>
        <v/>
      </c>
      <c r="M33" s="10">
        <f>IF($A33="","",IF(OR($L33="",$E33=""),"",$L33*$E33))</f>
        <v/>
      </c>
      <c r="N33" s="14">
        <f>IF($A33="","",IF($D33="","",IF($J33&gt;=$D33,"Received",IF($J33&gt;0,"Part received","Open"))))</f>
        <v/>
      </c>
      <c r="O33" s="13">
        <f>IF($A33="","",IF($L33="","",IF($L33&lt;=0,"",IF($I33="","",MAX(0,TODAY()-$I33)))))</f>
        <v/>
      </c>
      <c r="P33" s="13">
        <f>IF($A33="","",IFERROR(RIGHT($A33,4)*1,""))</f>
        <v/>
      </c>
      <c r="Q33" s="13">
        <f>IF($A33="","",COUNTIFS($A$5:$A33,$A33))</f>
        <v/>
      </c>
      <c r="R33" s="14">
        <f>IF($A33="","",$A33&amp;"|"&amp;$Q33)</f>
        <v/>
      </c>
      <c r="S33" s="13">
        <f>IF($A33="","",IF($Q33=1,MAX($S$4:$S32)+1,""))</f>
        <v/>
      </c>
      <c r="T33" s="13">
        <f>IF($S33="","",IF(SUMIFS($L$5:$L$204,$A$5:$A$204,$A33)&gt;0,1,0))</f>
        <v/>
      </c>
    </row>
    <row r="34">
      <c r="A34" s="7" t="n"/>
      <c r="B34" s="7" t="n"/>
      <c r="C34" s="7" t="n"/>
      <c r="D34" s="8" t="n"/>
      <c r="E34" s="9" t="n"/>
      <c r="F34" s="10">
        <f>IF($A34="","",IF(OR($D34="",$E34=""),"",$D34*$E34))</f>
        <v/>
      </c>
      <c r="G34" s="7" t="n"/>
      <c r="H34" s="11" t="n"/>
      <c r="I34" s="12">
        <f>IF($A34="","",IF($H34="","",$H34+IFERROR(VLOOKUP($B34,Suppliers!$A$5:$I$54,7,FALSE),0)))</f>
        <v/>
      </c>
      <c r="J34" s="8" t="n"/>
      <c r="K34" s="11" t="n"/>
      <c r="L34" s="13">
        <f>IF($A34="","",IF($D34="","",$D34-$J34))</f>
        <v/>
      </c>
      <c r="M34" s="10">
        <f>IF($A34="","",IF(OR($L34="",$E34=""),"",$L34*$E34))</f>
        <v/>
      </c>
      <c r="N34" s="14">
        <f>IF($A34="","",IF($D34="","",IF($J34&gt;=$D34,"Received",IF($J34&gt;0,"Part received","Open"))))</f>
        <v/>
      </c>
      <c r="O34" s="13">
        <f>IF($A34="","",IF($L34="","",IF($L34&lt;=0,"",IF($I34="","",MAX(0,TODAY()-$I34)))))</f>
        <v/>
      </c>
      <c r="P34" s="13">
        <f>IF($A34="","",IFERROR(RIGHT($A34,4)*1,""))</f>
        <v/>
      </c>
      <c r="Q34" s="13">
        <f>IF($A34="","",COUNTIFS($A$5:$A34,$A34))</f>
        <v/>
      </c>
      <c r="R34" s="14">
        <f>IF($A34="","",$A34&amp;"|"&amp;$Q34)</f>
        <v/>
      </c>
      <c r="S34" s="13">
        <f>IF($A34="","",IF($Q34=1,MAX($S$4:$S33)+1,""))</f>
        <v/>
      </c>
      <c r="T34" s="13">
        <f>IF($S34="","",IF(SUMIFS($L$5:$L$204,$A$5:$A$204,$A34)&gt;0,1,0))</f>
        <v/>
      </c>
    </row>
    <row r="35">
      <c r="A35" s="7" t="n"/>
      <c r="B35" s="7" t="n"/>
      <c r="C35" s="7" t="n"/>
      <c r="D35" s="8" t="n"/>
      <c r="E35" s="9" t="n"/>
      <c r="F35" s="10">
        <f>IF($A35="","",IF(OR($D35="",$E35=""),"",$D35*$E35))</f>
        <v/>
      </c>
      <c r="G35" s="7" t="n"/>
      <c r="H35" s="11" t="n"/>
      <c r="I35" s="12">
        <f>IF($A35="","",IF($H35="","",$H35+IFERROR(VLOOKUP($B35,Suppliers!$A$5:$I$54,7,FALSE),0)))</f>
        <v/>
      </c>
      <c r="J35" s="8" t="n"/>
      <c r="K35" s="11" t="n"/>
      <c r="L35" s="13">
        <f>IF($A35="","",IF($D35="","",$D35-$J35))</f>
        <v/>
      </c>
      <c r="M35" s="10">
        <f>IF($A35="","",IF(OR($L35="",$E35=""),"",$L35*$E35))</f>
        <v/>
      </c>
      <c r="N35" s="14">
        <f>IF($A35="","",IF($D35="","",IF($J35&gt;=$D35,"Received",IF($J35&gt;0,"Part received","Open"))))</f>
        <v/>
      </c>
      <c r="O35" s="13">
        <f>IF($A35="","",IF($L35="","",IF($L35&lt;=0,"",IF($I35="","",MAX(0,TODAY()-$I35)))))</f>
        <v/>
      </c>
      <c r="P35" s="13">
        <f>IF($A35="","",IFERROR(RIGHT($A35,4)*1,""))</f>
        <v/>
      </c>
      <c r="Q35" s="13">
        <f>IF($A35="","",COUNTIFS($A$5:$A35,$A35))</f>
        <v/>
      </c>
      <c r="R35" s="14">
        <f>IF($A35="","",$A35&amp;"|"&amp;$Q35)</f>
        <v/>
      </c>
      <c r="S35" s="13">
        <f>IF($A35="","",IF($Q35=1,MAX($S$4:$S34)+1,""))</f>
        <v/>
      </c>
      <c r="T35" s="13">
        <f>IF($S35="","",IF(SUMIFS($L$5:$L$204,$A$5:$A$204,$A35)&gt;0,1,0))</f>
        <v/>
      </c>
    </row>
    <row r="36">
      <c r="A36" s="7" t="n"/>
      <c r="B36" s="7" t="n"/>
      <c r="C36" s="7" t="n"/>
      <c r="D36" s="8" t="n"/>
      <c r="E36" s="9" t="n"/>
      <c r="F36" s="10">
        <f>IF($A36="","",IF(OR($D36="",$E36=""),"",$D36*$E36))</f>
        <v/>
      </c>
      <c r="G36" s="7" t="n"/>
      <c r="H36" s="11" t="n"/>
      <c r="I36" s="12">
        <f>IF($A36="","",IF($H36="","",$H36+IFERROR(VLOOKUP($B36,Suppliers!$A$5:$I$54,7,FALSE),0)))</f>
        <v/>
      </c>
      <c r="J36" s="8" t="n"/>
      <c r="K36" s="11" t="n"/>
      <c r="L36" s="13">
        <f>IF($A36="","",IF($D36="","",$D36-$J36))</f>
        <v/>
      </c>
      <c r="M36" s="10">
        <f>IF($A36="","",IF(OR($L36="",$E36=""),"",$L36*$E36))</f>
        <v/>
      </c>
      <c r="N36" s="14">
        <f>IF($A36="","",IF($D36="","",IF($J36&gt;=$D36,"Received",IF($J36&gt;0,"Part received","Open"))))</f>
        <v/>
      </c>
      <c r="O36" s="13">
        <f>IF($A36="","",IF($L36="","",IF($L36&lt;=0,"",IF($I36="","",MAX(0,TODAY()-$I36)))))</f>
        <v/>
      </c>
      <c r="P36" s="13">
        <f>IF($A36="","",IFERROR(RIGHT($A36,4)*1,""))</f>
        <v/>
      </c>
      <c r="Q36" s="13">
        <f>IF($A36="","",COUNTIFS($A$5:$A36,$A36))</f>
        <v/>
      </c>
      <c r="R36" s="14">
        <f>IF($A36="","",$A36&amp;"|"&amp;$Q36)</f>
        <v/>
      </c>
      <c r="S36" s="13">
        <f>IF($A36="","",IF($Q36=1,MAX($S$4:$S35)+1,""))</f>
        <v/>
      </c>
      <c r="T36" s="13">
        <f>IF($S36="","",IF(SUMIFS($L$5:$L$204,$A$5:$A$204,$A36)&gt;0,1,0))</f>
        <v/>
      </c>
    </row>
    <row r="37">
      <c r="A37" s="7" t="n"/>
      <c r="B37" s="7" t="n"/>
      <c r="C37" s="7" t="n"/>
      <c r="D37" s="8" t="n"/>
      <c r="E37" s="9" t="n"/>
      <c r="F37" s="10">
        <f>IF($A37="","",IF(OR($D37="",$E37=""),"",$D37*$E37))</f>
        <v/>
      </c>
      <c r="G37" s="7" t="n"/>
      <c r="H37" s="11" t="n"/>
      <c r="I37" s="12">
        <f>IF($A37="","",IF($H37="","",$H37+IFERROR(VLOOKUP($B37,Suppliers!$A$5:$I$54,7,FALSE),0)))</f>
        <v/>
      </c>
      <c r="J37" s="8" t="n"/>
      <c r="K37" s="11" t="n"/>
      <c r="L37" s="13">
        <f>IF($A37="","",IF($D37="","",$D37-$J37))</f>
        <v/>
      </c>
      <c r="M37" s="10">
        <f>IF($A37="","",IF(OR($L37="",$E37=""),"",$L37*$E37))</f>
        <v/>
      </c>
      <c r="N37" s="14">
        <f>IF($A37="","",IF($D37="","",IF($J37&gt;=$D37,"Received",IF($J37&gt;0,"Part received","Open"))))</f>
        <v/>
      </c>
      <c r="O37" s="13">
        <f>IF($A37="","",IF($L37="","",IF($L37&lt;=0,"",IF($I37="","",MAX(0,TODAY()-$I37)))))</f>
        <v/>
      </c>
      <c r="P37" s="13">
        <f>IF($A37="","",IFERROR(RIGHT($A37,4)*1,""))</f>
        <v/>
      </c>
      <c r="Q37" s="13">
        <f>IF($A37="","",COUNTIFS($A$5:$A37,$A37))</f>
        <v/>
      </c>
      <c r="R37" s="14">
        <f>IF($A37="","",$A37&amp;"|"&amp;$Q37)</f>
        <v/>
      </c>
      <c r="S37" s="13">
        <f>IF($A37="","",IF($Q37=1,MAX($S$4:$S36)+1,""))</f>
        <v/>
      </c>
      <c r="T37" s="13">
        <f>IF($S37="","",IF(SUMIFS($L$5:$L$204,$A$5:$A$204,$A37)&gt;0,1,0))</f>
        <v/>
      </c>
    </row>
    <row r="38">
      <c r="A38" s="7" t="n"/>
      <c r="B38" s="7" t="n"/>
      <c r="C38" s="7" t="n"/>
      <c r="D38" s="8" t="n"/>
      <c r="E38" s="9" t="n"/>
      <c r="F38" s="10">
        <f>IF($A38="","",IF(OR($D38="",$E38=""),"",$D38*$E38))</f>
        <v/>
      </c>
      <c r="G38" s="7" t="n"/>
      <c r="H38" s="11" t="n"/>
      <c r="I38" s="12">
        <f>IF($A38="","",IF($H38="","",$H38+IFERROR(VLOOKUP($B38,Suppliers!$A$5:$I$54,7,FALSE),0)))</f>
        <v/>
      </c>
      <c r="J38" s="8" t="n"/>
      <c r="K38" s="11" t="n"/>
      <c r="L38" s="13">
        <f>IF($A38="","",IF($D38="","",$D38-$J38))</f>
        <v/>
      </c>
      <c r="M38" s="10">
        <f>IF($A38="","",IF(OR($L38="",$E38=""),"",$L38*$E38))</f>
        <v/>
      </c>
      <c r="N38" s="14">
        <f>IF($A38="","",IF($D38="","",IF($J38&gt;=$D38,"Received",IF($J38&gt;0,"Part received","Open"))))</f>
        <v/>
      </c>
      <c r="O38" s="13">
        <f>IF($A38="","",IF($L38="","",IF($L38&lt;=0,"",IF($I38="","",MAX(0,TODAY()-$I38)))))</f>
        <v/>
      </c>
      <c r="P38" s="13">
        <f>IF($A38="","",IFERROR(RIGHT($A38,4)*1,""))</f>
        <v/>
      </c>
      <c r="Q38" s="13">
        <f>IF($A38="","",COUNTIFS($A$5:$A38,$A38))</f>
        <v/>
      </c>
      <c r="R38" s="14">
        <f>IF($A38="","",$A38&amp;"|"&amp;$Q38)</f>
        <v/>
      </c>
      <c r="S38" s="13">
        <f>IF($A38="","",IF($Q38=1,MAX($S$4:$S37)+1,""))</f>
        <v/>
      </c>
      <c r="T38" s="13">
        <f>IF($S38="","",IF(SUMIFS($L$5:$L$204,$A$5:$A$204,$A38)&gt;0,1,0))</f>
        <v/>
      </c>
    </row>
    <row r="39">
      <c r="A39" s="7" t="n"/>
      <c r="B39" s="7" t="n"/>
      <c r="C39" s="7" t="n"/>
      <c r="D39" s="8" t="n"/>
      <c r="E39" s="9" t="n"/>
      <c r="F39" s="10">
        <f>IF($A39="","",IF(OR($D39="",$E39=""),"",$D39*$E39))</f>
        <v/>
      </c>
      <c r="G39" s="7" t="n"/>
      <c r="H39" s="11" t="n"/>
      <c r="I39" s="12">
        <f>IF($A39="","",IF($H39="","",$H39+IFERROR(VLOOKUP($B39,Suppliers!$A$5:$I$54,7,FALSE),0)))</f>
        <v/>
      </c>
      <c r="J39" s="8" t="n"/>
      <c r="K39" s="11" t="n"/>
      <c r="L39" s="13">
        <f>IF($A39="","",IF($D39="","",$D39-$J39))</f>
        <v/>
      </c>
      <c r="M39" s="10">
        <f>IF($A39="","",IF(OR($L39="",$E39=""),"",$L39*$E39))</f>
        <v/>
      </c>
      <c r="N39" s="14">
        <f>IF($A39="","",IF($D39="","",IF($J39&gt;=$D39,"Received",IF($J39&gt;0,"Part received","Open"))))</f>
        <v/>
      </c>
      <c r="O39" s="13">
        <f>IF($A39="","",IF($L39="","",IF($L39&lt;=0,"",IF($I39="","",MAX(0,TODAY()-$I39)))))</f>
        <v/>
      </c>
      <c r="P39" s="13">
        <f>IF($A39="","",IFERROR(RIGHT($A39,4)*1,""))</f>
        <v/>
      </c>
      <c r="Q39" s="13">
        <f>IF($A39="","",COUNTIFS($A$5:$A39,$A39))</f>
        <v/>
      </c>
      <c r="R39" s="14">
        <f>IF($A39="","",$A39&amp;"|"&amp;$Q39)</f>
        <v/>
      </c>
      <c r="S39" s="13">
        <f>IF($A39="","",IF($Q39=1,MAX($S$4:$S38)+1,""))</f>
        <v/>
      </c>
      <c r="T39" s="13">
        <f>IF($S39="","",IF(SUMIFS($L$5:$L$204,$A$5:$A$204,$A39)&gt;0,1,0))</f>
        <v/>
      </c>
    </row>
    <row r="40">
      <c r="A40" s="7" t="n"/>
      <c r="B40" s="7" t="n"/>
      <c r="C40" s="7" t="n"/>
      <c r="D40" s="8" t="n"/>
      <c r="E40" s="9" t="n"/>
      <c r="F40" s="10">
        <f>IF($A40="","",IF(OR($D40="",$E40=""),"",$D40*$E40))</f>
        <v/>
      </c>
      <c r="G40" s="7" t="n"/>
      <c r="H40" s="11" t="n"/>
      <c r="I40" s="12">
        <f>IF($A40="","",IF($H40="","",$H40+IFERROR(VLOOKUP($B40,Suppliers!$A$5:$I$54,7,FALSE),0)))</f>
        <v/>
      </c>
      <c r="J40" s="8" t="n"/>
      <c r="K40" s="11" t="n"/>
      <c r="L40" s="13">
        <f>IF($A40="","",IF($D40="","",$D40-$J40))</f>
        <v/>
      </c>
      <c r="M40" s="10">
        <f>IF($A40="","",IF(OR($L40="",$E40=""),"",$L40*$E40))</f>
        <v/>
      </c>
      <c r="N40" s="14">
        <f>IF($A40="","",IF($D40="","",IF($J40&gt;=$D40,"Received",IF($J40&gt;0,"Part received","Open"))))</f>
        <v/>
      </c>
      <c r="O40" s="13">
        <f>IF($A40="","",IF($L40="","",IF($L40&lt;=0,"",IF($I40="","",MAX(0,TODAY()-$I40)))))</f>
        <v/>
      </c>
      <c r="P40" s="13">
        <f>IF($A40="","",IFERROR(RIGHT($A40,4)*1,""))</f>
        <v/>
      </c>
      <c r="Q40" s="13">
        <f>IF($A40="","",COUNTIFS($A$5:$A40,$A40))</f>
        <v/>
      </c>
      <c r="R40" s="14">
        <f>IF($A40="","",$A40&amp;"|"&amp;$Q40)</f>
        <v/>
      </c>
      <c r="S40" s="13">
        <f>IF($A40="","",IF($Q40=1,MAX($S$4:$S39)+1,""))</f>
        <v/>
      </c>
      <c r="T40" s="13">
        <f>IF($S40="","",IF(SUMIFS($L$5:$L$204,$A$5:$A$204,$A40)&gt;0,1,0))</f>
        <v/>
      </c>
    </row>
    <row r="41">
      <c r="A41" s="7" t="n"/>
      <c r="B41" s="7" t="n"/>
      <c r="C41" s="7" t="n"/>
      <c r="D41" s="8" t="n"/>
      <c r="E41" s="9" t="n"/>
      <c r="F41" s="10">
        <f>IF($A41="","",IF(OR($D41="",$E41=""),"",$D41*$E41))</f>
        <v/>
      </c>
      <c r="G41" s="7" t="n"/>
      <c r="H41" s="11" t="n"/>
      <c r="I41" s="12">
        <f>IF($A41="","",IF($H41="","",$H41+IFERROR(VLOOKUP($B41,Suppliers!$A$5:$I$54,7,FALSE),0)))</f>
        <v/>
      </c>
      <c r="J41" s="8" t="n"/>
      <c r="K41" s="11" t="n"/>
      <c r="L41" s="13">
        <f>IF($A41="","",IF($D41="","",$D41-$J41))</f>
        <v/>
      </c>
      <c r="M41" s="10">
        <f>IF($A41="","",IF(OR($L41="",$E41=""),"",$L41*$E41))</f>
        <v/>
      </c>
      <c r="N41" s="14">
        <f>IF($A41="","",IF($D41="","",IF($J41&gt;=$D41,"Received",IF($J41&gt;0,"Part received","Open"))))</f>
        <v/>
      </c>
      <c r="O41" s="13">
        <f>IF($A41="","",IF($L41="","",IF($L41&lt;=0,"",IF($I41="","",MAX(0,TODAY()-$I41)))))</f>
        <v/>
      </c>
      <c r="P41" s="13">
        <f>IF($A41="","",IFERROR(RIGHT($A41,4)*1,""))</f>
        <v/>
      </c>
      <c r="Q41" s="13">
        <f>IF($A41="","",COUNTIFS($A$5:$A41,$A41))</f>
        <v/>
      </c>
      <c r="R41" s="14">
        <f>IF($A41="","",$A41&amp;"|"&amp;$Q41)</f>
        <v/>
      </c>
      <c r="S41" s="13">
        <f>IF($A41="","",IF($Q41=1,MAX($S$4:$S40)+1,""))</f>
        <v/>
      </c>
      <c r="T41" s="13">
        <f>IF($S41="","",IF(SUMIFS($L$5:$L$204,$A$5:$A$204,$A41)&gt;0,1,0))</f>
        <v/>
      </c>
    </row>
    <row r="42">
      <c r="A42" s="7" t="n"/>
      <c r="B42" s="7" t="n"/>
      <c r="C42" s="7" t="n"/>
      <c r="D42" s="8" t="n"/>
      <c r="E42" s="9" t="n"/>
      <c r="F42" s="10">
        <f>IF($A42="","",IF(OR($D42="",$E42=""),"",$D42*$E42))</f>
        <v/>
      </c>
      <c r="G42" s="7" t="n"/>
      <c r="H42" s="11" t="n"/>
      <c r="I42" s="12">
        <f>IF($A42="","",IF($H42="","",$H42+IFERROR(VLOOKUP($B42,Suppliers!$A$5:$I$54,7,FALSE),0)))</f>
        <v/>
      </c>
      <c r="J42" s="8" t="n"/>
      <c r="K42" s="11" t="n"/>
      <c r="L42" s="13">
        <f>IF($A42="","",IF($D42="","",$D42-$J42))</f>
        <v/>
      </c>
      <c r="M42" s="10">
        <f>IF($A42="","",IF(OR($L42="",$E42=""),"",$L42*$E42))</f>
        <v/>
      </c>
      <c r="N42" s="14">
        <f>IF($A42="","",IF($D42="","",IF($J42&gt;=$D42,"Received",IF($J42&gt;0,"Part received","Open"))))</f>
        <v/>
      </c>
      <c r="O42" s="13">
        <f>IF($A42="","",IF($L42="","",IF($L42&lt;=0,"",IF($I42="","",MAX(0,TODAY()-$I42)))))</f>
        <v/>
      </c>
      <c r="P42" s="13">
        <f>IF($A42="","",IFERROR(RIGHT($A42,4)*1,""))</f>
        <v/>
      </c>
      <c r="Q42" s="13">
        <f>IF($A42="","",COUNTIFS($A$5:$A42,$A42))</f>
        <v/>
      </c>
      <c r="R42" s="14">
        <f>IF($A42="","",$A42&amp;"|"&amp;$Q42)</f>
        <v/>
      </c>
      <c r="S42" s="13">
        <f>IF($A42="","",IF($Q42=1,MAX($S$4:$S41)+1,""))</f>
        <v/>
      </c>
      <c r="T42" s="13">
        <f>IF($S42="","",IF(SUMIFS($L$5:$L$204,$A$5:$A$204,$A42)&gt;0,1,0))</f>
        <v/>
      </c>
    </row>
    <row r="43">
      <c r="A43" s="7" t="n"/>
      <c r="B43" s="7" t="n"/>
      <c r="C43" s="7" t="n"/>
      <c r="D43" s="8" t="n"/>
      <c r="E43" s="9" t="n"/>
      <c r="F43" s="10">
        <f>IF($A43="","",IF(OR($D43="",$E43=""),"",$D43*$E43))</f>
        <v/>
      </c>
      <c r="G43" s="7" t="n"/>
      <c r="H43" s="11" t="n"/>
      <c r="I43" s="12">
        <f>IF($A43="","",IF($H43="","",$H43+IFERROR(VLOOKUP($B43,Suppliers!$A$5:$I$54,7,FALSE),0)))</f>
        <v/>
      </c>
      <c r="J43" s="8" t="n"/>
      <c r="K43" s="11" t="n"/>
      <c r="L43" s="13">
        <f>IF($A43="","",IF($D43="","",$D43-$J43))</f>
        <v/>
      </c>
      <c r="M43" s="10">
        <f>IF($A43="","",IF(OR($L43="",$E43=""),"",$L43*$E43))</f>
        <v/>
      </c>
      <c r="N43" s="14">
        <f>IF($A43="","",IF($D43="","",IF($J43&gt;=$D43,"Received",IF($J43&gt;0,"Part received","Open"))))</f>
        <v/>
      </c>
      <c r="O43" s="13">
        <f>IF($A43="","",IF($L43="","",IF($L43&lt;=0,"",IF($I43="","",MAX(0,TODAY()-$I43)))))</f>
        <v/>
      </c>
      <c r="P43" s="13">
        <f>IF($A43="","",IFERROR(RIGHT($A43,4)*1,""))</f>
        <v/>
      </c>
      <c r="Q43" s="13">
        <f>IF($A43="","",COUNTIFS($A$5:$A43,$A43))</f>
        <v/>
      </c>
      <c r="R43" s="14">
        <f>IF($A43="","",$A43&amp;"|"&amp;$Q43)</f>
        <v/>
      </c>
      <c r="S43" s="13">
        <f>IF($A43="","",IF($Q43=1,MAX($S$4:$S42)+1,""))</f>
        <v/>
      </c>
      <c r="T43" s="13">
        <f>IF($S43="","",IF(SUMIFS($L$5:$L$204,$A$5:$A$204,$A43)&gt;0,1,0))</f>
        <v/>
      </c>
    </row>
    <row r="44">
      <c r="A44" s="7" t="n"/>
      <c r="B44" s="7" t="n"/>
      <c r="C44" s="7" t="n"/>
      <c r="D44" s="8" t="n"/>
      <c r="E44" s="9" t="n"/>
      <c r="F44" s="10">
        <f>IF($A44="","",IF(OR($D44="",$E44=""),"",$D44*$E44))</f>
        <v/>
      </c>
      <c r="G44" s="7" t="n"/>
      <c r="H44" s="11" t="n"/>
      <c r="I44" s="12">
        <f>IF($A44="","",IF($H44="","",$H44+IFERROR(VLOOKUP($B44,Suppliers!$A$5:$I$54,7,FALSE),0)))</f>
        <v/>
      </c>
      <c r="J44" s="8" t="n"/>
      <c r="K44" s="11" t="n"/>
      <c r="L44" s="13">
        <f>IF($A44="","",IF($D44="","",$D44-$J44))</f>
        <v/>
      </c>
      <c r="M44" s="10">
        <f>IF($A44="","",IF(OR($L44="",$E44=""),"",$L44*$E44))</f>
        <v/>
      </c>
      <c r="N44" s="14">
        <f>IF($A44="","",IF($D44="","",IF($J44&gt;=$D44,"Received",IF($J44&gt;0,"Part received","Open"))))</f>
        <v/>
      </c>
      <c r="O44" s="13">
        <f>IF($A44="","",IF($L44="","",IF($L44&lt;=0,"",IF($I44="","",MAX(0,TODAY()-$I44)))))</f>
        <v/>
      </c>
      <c r="P44" s="13">
        <f>IF($A44="","",IFERROR(RIGHT($A44,4)*1,""))</f>
        <v/>
      </c>
      <c r="Q44" s="13">
        <f>IF($A44="","",COUNTIFS($A$5:$A44,$A44))</f>
        <v/>
      </c>
      <c r="R44" s="14">
        <f>IF($A44="","",$A44&amp;"|"&amp;$Q44)</f>
        <v/>
      </c>
      <c r="S44" s="13">
        <f>IF($A44="","",IF($Q44=1,MAX($S$4:$S43)+1,""))</f>
        <v/>
      </c>
      <c r="T44" s="13">
        <f>IF($S44="","",IF(SUMIFS($L$5:$L$204,$A$5:$A$204,$A44)&gt;0,1,0))</f>
        <v/>
      </c>
    </row>
    <row r="45">
      <c r="A45" s="7" t="n"/>
      <c r="B45" s="7" t="n"/>
      <c r="C45" s="7" t="n"/>
      <c r="D45" s="8" t="n"/>
      <c r="E45" s="9" t="n"/>
      <c r="F45" s="10">
        <f>IF($A45="","",IF(OR($D45="",$E45=""),"",$D45*$E45))</f>
        <v/>
      </c>
      <c r="G45" s="7" t="n"/>
      <c r="H45" s="11" t="n"/>
      <c r="I45" s="12">
        <f>IF($A45="","",IF($H45="","",$H45+IFERROR(VLOOKUP($B45,Suppliers!$A$5:$I$54,7,FALSE),0)))</f>
        <v/>
      </c>
      <c r="J45" s="8" t="n"/>
      <c r="K45" s="11" t="n"/>
      <c r="L45" s="13">
        <f>IF($A45="","",IF($D45="","",$D45-$J45))</f>
        <v/>
      </c>
      <c r="M45" s="10">
        <f>IF($A45="","",IF(OR($L45="",$E45=""),"",$L45*$E45))</f>
        <v/>
      </c>
      <c r="N45" s="14">
        <f>IF($A45="","",IF($D45="","",IF($J45&gt;=$D45,"Received",IF($J45&gt;0,"Part received","Open"))))</f>
        <v/>
      </c>
      <c r="O45" s="13">
        <f>IF($A45="","",IF($L45="","",IF($L45&lt;=0,"",IF($I45="","",MAX(0,TODAY()-$I45)))))</f>
        <v/>
      </c>
      <c r="P45" s="13">
        <f>IF($A45="","",IFERROR(RIGHT($A45,4)*1,""))</f>
        <v/>
      </c>
      <c r="Q45" s="13">
        <f>IF($A45="","",COUNTIFS($A$5:$A45,$A45))</f>
        <v/>
      </c>
      <c r="R45" s="14">
        <f>IF($A45="","",$A45&amp;"|"&amp;$Q45)</f>
        <v/>
      </c>
      <c r="S45" s="13">
        <f>IF($A45="","",IF($Q45=1,MAX($S$4:$S44)+1,""))</f>
        <v/>
      </c>
      <c r="T45" s="13">
        <f>IF($S45="","",IF(SUMIFS($L$5:$L$204,$A$5:$A$204,$A45)&gt;0,1,0))</f>
        <v/>
      </c>
    </row>
    <row r="46">
      <c r="A46" s="7" t="n"/>
      <c r="B46" s="7" t="n"/>
      <c r="C46" s="7" t="n"/>
      <c r="D46" s="8" t="n"/>
      <c r="E46" s="9" t="n"/>
      <c r="F46" s="10">
        <f>IF($A46="","",IF(OR($D46="",$E46=""),"",$D46*$E46))</f>
        <v/>
      </c>
      <c r="G46" s="7" t="n"/>
      <c r="H46" s="11" t="n"/>
      <c r="I46" s="12">
        <f>IF($A46="","",IF($H46="","",$H46+IFERROR(VLOOKUP($B46,Suppliers!$A$5:$I$54,7,FALSE),0)))</f>
        <v/>
      </c>
      <c r="J46" s="8" t="n"/>
      <c r="K46" s="11" t="n"/>
      <c r="L46" s="13">
        <f>IF($A46="","",IF($D46="","",$D46-$J46))</f>
        <v/>
      </c>
      <c r="M46" s="10">
        <f>IF($A46="","",IF(OR($L46="",$E46=""),"",$L46*$E46))</f>
        <v/>
      </c>
      <c r="N46" s="14">
        <f>IF($A46="","",IF($D46="","",IF($J46&gt;=$D46,"Received",IF($J46&gt;0,"Part received","Open"))))</f>
        <v/>
      </c>
      <c r="O46" s="13">
        <f>IF($A46="","",IF($L46="","",IF($L46&lt;=0,"",IF($I46="","",MAX(0,TODAY()-$I46)))))</f>
        <v/>
      </c>
      <c r="P46" s="13">
        <f>IF($A46="","",IFERROR(RIGHT($A46,4)*1,""))</f>
        <v/>
      </c>
      <c r="Q46" s="13">
        <f>IF($A46="","",COUNTIFS($A$5:$A46,$A46))</f>
        <v/>
      </c>
      <c r="R46" s="14">
        <f>IF($A46="","",$A46&amp;"|"&amp;$Q46)</f>
        <v/>
      </c>
      <c r="S46" s="13">
        <f>IF($A46="","",IF($Q46=1,MAX($S$4:$S45)+1,""))</f>
        <v/>
      </c>
      <c r="T46" s="13">
        <f>IF($S46="","",IF(SUMIFS($L$5:$L$204,$A$5:$A$204,$A46)&gt;0,1,0))</f>
        <v/>
      </c>
    </row>
    <row r="47">
      <c r="A47" s="7" t="n"/>
      <c r="B47" s="7" t="n"/>
      <c r="C47" s="7" t="n"/>
      <c r="D47" s="8" t="n"/>
      <c r="E47" s="9" t="n"/>
      <c r="F47" s="10">
        <f>IF($A47="","",IF(OR($D47="",$E47=""),"",$D47*$E47))</f>
        <v/>
      </c>
      <c r="G47" s="7" t="n"/>
      <c r="H47" s="11" t="n"/>
      <c r="I47" s="12">
        <f>IF($A47="","",IF($H47="","",$H47+IFERROR(VLOOKUP($B47,Suppliers!$A$5:$I$54,7,FALSE),0)))</f>
        <v/>
      </c>
      <c r="J47" s="8" t="n"/>
      <c r="K47" s="11" t="n"/>
      <c r="L47" s="13">
        <f>IF($A47="","",IF($D47="","",$D47-$J47))</f>
        <v/>
      </c>
      <c r="M47" s="10">
        <f>IF($A47="","",IF(OR($L47="",$E47=""),"",$L47*$E47))</f>
        <v/>
      </c>
      <c r="N47" s="14">
        <f>IF($A47="","",IF($D47="","",IF($J47&gt;=$D47,"Received",IF($J47&gt;0,"Part received","Open"))))</f>
        <v/>
      </c>
      <c r="O47" s="13">
        <f>IF($A47="","",IF($L47="","",IF($L47&lt;=0,"",IF($I47="","",MAX(0,TODAY()-$I47)))))</f>
        <v/>
      </c>
      <c r="P47" s="13">
        <f>IF($A47="","",IFERROR(RIGHT($A47,4)*1,""))</f>
        <v/>
      </c>
      <c r="Q47" s="13">
        <f>IF($A47="","",COUNTIFS($A$5:$A47,$A47))</f>
        <v/>
      </c>
      <c r="R47" s="14">
        <f>IF($A47="","",$A47&amp;"|"&amp;$Q47)</f>
        <v/>
      </c>
      <c r="S47" s="13">
        <f>IF($A47="","",IF($Q47=1,MAX($S$4:$S46)+1,""))</f>
        <v/>
      </c>
      <c r="T47" s="13">
        <f>IF($S47="","",IF(SUMIFS($L$5:$L$204,$A$5:$A$204,$A47)&gt;0,1,0))</f>
        <v/>
      </c>
    </row>
    <row r="48">
      <c r="A48" s="7" t="n"/>
      <c r="B48" s="7" t="n"/>
      <c r="C48" s="7" t="n"/>
      <c r="D48" s="8" t="n"/>
      <c r="E48" s="9" t="n"/>
      <c r="F48" s="10">
        <f>IF($A48="","",IF(OR($D48="",$E48=""),"",$D48*$E48))</f>
        <v/>
      </c>
      <c r="G48" s="7" t="n"/>
      <c r="H48" s="11" t="n"/>
      <c r="I48" s="12">
        <f>IF($A48="","",IF($H48="","",$H48+IFERROR(VLOOKUP($B48,Suppliers!$A$5:$I$54,7,FALSE),0)))</f>
        <v/>
      </c>
      <c r="J48" s="8" t="n"/>
      <c r="K48" s="11" t="n"/>
      <c r="L48" s="13">
        <f>IF($A48="","",IF($D48="","",$D48-$J48))</f>
        <v/>
      </c>
      <c r="M48" s="10">
        <f>IF($A48="","",IF(OR($L48="",$E48=""),"",$L48*$E48))</f>
        <v/>
      </c>
      <c r="N48" s="14">
        <f>IF($A48="","",IF($D48="","",IF($J48&gt;=$D48,"Received",IF($J48&gt;0,"Part received","Open"))))</f>
        <v/>
      </c>
      <c r="O48" s="13">
        <f>IF($A48="","",IF($L48="","",IF($L48&lt;=0,"",IF($I48="","",MAX(0,TODAY()-$I48)))))</f>
        <v/>
      </c>
      <c r="P48" s="13">
        <f>IF($A48="","",IFERROR(RIGHT($A48,4)*1,""))</f>
        <v/>
      </c>
      <c r="Q48" s="13">
        <f>IF($A48="","",COUNTIFS($A$5:$A48,$A48))</f>
        <v/>
      </c>
      <c r="R48" s="14">
        <f>IF($A48="","",$A48&amp;"|"&amp;$Q48)</f>
        <v/>
      </c>
      <c r="S48" s="13">
        <f>IF($A48="","",IF($Q48=1,MAX($S$4:$S47)+1,""))</f>
        <v/>
      </c>
      <c r="T48" s="13">
        <f>IF($S48="","",IF(SUMIFS($L$5:$L$204,$A$5:$A$204,$A48)&gt;0,1,0))</f>
        <v/>
      </c>
    </row>
    <row r="49">
      <c r="A49" s="7" t="n"/>
      <c r="B49" s="7" t="n"/>
      <c r="C49" s="7" t="n"/>
      <c r="D49" s="8" t="n"/>
      <c r="E49" s="9" t="n"/>
      <c r="F49" s="10">
        <f>IF($A49="","",IF(OR($D49="",$E49=""),"",$D49*$E49))</f>
        <v/>
      </c>
      <c r="G49" s="7" t="n"/>
      <c r="H49" s="11" t="n"/>
      <c r="I49" s="12">
        <f>IF($A49="","",IF($H49="","",$H49+IFERROR(VLOOKUP($B49,Suppliers!$A$5:$I$54,7,FALSE),0)))</f>
        <v/>
      </c>
      <c r="J49" s="8" t="n"/>
      <c r="K49" s="11" t="n"/>
      <c r="L49" s="13">
        <f>IF($A49="","",IF($D49="","",$D49-$J49))</f>
        <v/>
      </c>
      <c r="M49" s="10">
        <f>IF($A49="","",IF(OR($L49="",$E49=""),"",$L49*$E49))</f>
        <v/>
      </c>
      <c r="N49" s="14">
        <f>IF($A49="","",IF($D49="","",IF($J49&gt;=$D49,"Received",IF($J49&gt;0,"Part received","Open"))))</f>
        <v/>
      </c>
      <c r="O49" s="13">
        <f>IF($A49="","",IF($L49="","",IF($L49&lt;=0,"",IF($I49="","",MAX(0,TODAY()-$I49)))))</f>
        <v/>
      </c>
      <c r="P49" s="13">
        <f>IF($A49="","",IFERROR(RIGHT($A49,4)*1,""))</f>
        <v/>
      </c>
      <c r="Q49" s="13">
        <f>IF($A49="","",COUNTIFS($A$5:$A49,$A49))</f>
        <v/>
      </c>
      <c r="R49" s="14">
        <f>IF($A49="","",$A49&amp;"|"&amp;$Q49)</f>
        <v/>
      </c>
      <c r="S49" s="13">
        <f>IF($A49="","",IF($Q49=1,MAX($S$4:$S48)+1,""))</f>
        <v/>
      </c>
      <c r="T49" s="13">
        <f>IF($S49="","",IF(SUMIFS($L$5:$L$204,$A$5:$A$204,$A49)&gt;0,1,0))</f>
        <v/>
      </c>
    </row>
    <row r="50">
      <c r="A50" s="7" t="n"/>
      <c r="B50" s="7" t="n"/>
      <c r="C50" s="7" t="n"/>
      <c r="D50" s="8" t="n"/>
      <c r="E50" s="9" t="n"/>
      <c r="F50" s="10">
        <f>IF($A50="","",IF(OR($D50="",$E50=""),"",$D50*$E50))</f>
        <v/>
      </c>
      <c r="G50" s="7" t="n"/>
      <c r="H50" s="11" t="n"/>
      <c r="I50" s="12">
        <f>IF($A50="","",IF($H50="","",$H50+IFERROR(VLOOKUP($B50,Suppliers!$A$5:$I$54,7,FALSE),0)))</f>
        <v/>
      </c>
      <c r="J50" s="8" t="n"/>
      <c r="K50" s="11" t="n"/>
      <c r="L50" s="13">
        <f>IF($A50="","",IF($D50="","",$D50-$J50))</f>
        <v/>
      </c>
      <c r="M50" s="10">
        <f>IF($A50="","",IF(OR($L50="",$E50=""),"",$L50*$E50))</f>
        <v/>
      </c>
      <c r="N50" s="14">
        <f>IF($A50="","",IF($D50="","",IF($J50&gt;=$D50,"Received",IF($J50&gt;0,"Part received","Open"))))</f>
        <v/>
      </c>
      <c r="O50" s="13">
        <f>IF($A50="","",IF($L50="","",IF($L50&lt;=0,"",IF($I50="","",MAX(0,TODAY()-$I50)))))</f>
        <v/>
      </c>
      <c r="P50" s="13">
        <f>IF($A50="","",IFERROR(RIGHT($A50,4)*1,""))</f>
        <v/>
      </c>
      <c r="Q50" s="13">
        <f>IF($A50="","",COUNTIFS($A$5:$A50,$A50))</f>
        <v/>
      </c>
      <c r="R50" s="14">
        <f>IF($A50="","",$A50&amp;"|"&amp;$Q50)</f>
        <v/>
      </c>
      <c r="S50" s="13">
        <f>IF($A50="","",IF($Q50=1,MAX($S$4:$S49)+1,""))</f>
        <v/>
      </c>
      <c r="T50" s="13">
        <f>IF($S50="","",IF(SUMIFS($L$5:$L$204,$A$5:$A$204,$A50)&gt;0,1,0))</f>
        <v/>
      </c>
    </row>
    <row r="51">
      <c r="A51" s="7" t="n"/>
      <c r="B51" s="7" t="n"/>
      <c r="C51" s="7" t="n"/>
      <c r="D51" s="8" t="n"/>
      <c r="E51" s="9" t="n"/>
      <c r="F51" s="10">
        <f>IF($A51="","",IF(OR($D51="",$E51=""),"",$D51*$E51))</f>
        <v/>
      </c>
      <c r="G51" s="7" t="n"/>
      <c r="H51" s="11" t="n"/>
      <c r="I51" s="12">
        <f>IF($A51="","",IF($H51="","",$H51+IFERROR(VLOOKUP($B51,Suppliers!$A$5:$I$54,7,FALSE),0)))</f>
        <v/>
      </c>
      <c r="J51" s="8" t="n"/>
      <c r="K51" s="11" t="n"/>
      <c r="L51" s="13">
        <f>IF($A51="","",IF($D51="","",$D51-$J51))</f>
        <v/>
      </c>
      <c r="M51" s="10">
        <f>IF($A51="","",IF(OR($L51="",$E51=""),"",$L51*$E51))</f>
        <v/>
      </c>
      <c r="N51" s="14">
        <f>IF($A51="","",IF($D51="","",IF($J51&gt;=$D51,"Received",IF($J51&gt;0,"Part received","Open"))))</f>
        <v/>
      </c>
      <c r="O51" s="13">
        <f>IF($A51="","",IF($L51="","",IF($L51&lt;=0,"",IF($I51="","",MAX(0,TODAY()-$I51)))))</f>
        <v/>
      </c>
      <c r="P51" s="13">
        <f>IF($A51="","",IFERROR(RIGHT($A51,4)*1,""))</f>
        <v/>
      </c>
      <c r="Q51" s="13">
        <f>IF($A51="","",COUNTIFS($A$5:$A51,$A51))</f>
        <v/>
      </c>
      <c r="R51" s="14">
        <f>IF($A51="","",$A51&amp;"|"&amp;$Q51)</f>
        <v/>
      </c>
      <c r="S51" s="13">
        <f>IF($A51="","",IF($Q51=1,MAX($S$4:$S50)+1,""))</f>
        <v/>
      </c>
      <c r="T51" s="13">
        <f>IF($S51="","",IF(SUMIFS($L$5:$L$204,$A$5:$A$204,$A51)&gt;0,1,0))</f>
        <v/>
      </c>
    </row>
    <row r="52">
      <c r="A52" s="7" t="n"/>
      <c r="B52" s="7" t="n"/>
      <c r="C52" s="7" t="n"/>
      <c r="D52" s="8" t="n"/>
      <c r="E52" s="9" t="n"/>
      <c r="F52" s="10">
        <f>IF($A52="","",IF(OR($D52="",$E52=""),"",$D52*$E52))</f>
        <v/>
      </c>
      <c r="G52" s="7" t="n"/>
      <c r="H52" s="11" t="n"/>
      <c r="I52" s="12">
        <f>IF($A52="","",IF($H52="","",$H52+IFERROR(VLOOKUP($B52,Suppliers!$A$5:$I$54,7,FALSE),0)))</f>
        <v/>
      </c>
      <c r="J52" s="8" t="n"/>
      <c r="K52" s="11" t="n"/>
      <c r="L52" s="13">
        <f>IF($A52="","",IF($D52="","",$D52-$J52))</f>
        <v/>
      </c>
      <c r="M52" s="10">
        <f>IF($A52="","",IF(OR($L52="",$E52=""),"",$L52*$E52))</f>
        <v/>
      </c>
      <c r="N52" s="14">
        <f>IF($A52="","",IF($D52="","",IF($J52&gt;=$D52,"Received",IF($J52&gt;0,"Part received","Open"))))</f>
        <v/>
      </c>
      <c r="O52" s="13">
        <f>IF($A52="","",IF($L52="","",IF($L52&lt;=0,"",IF($I52="","",MAX(0,TODAY()-$I52)))))</f>
        <v/>
      </c>
      <c r="P52" s="13">
        <f>IF($A52="","",IFERROR(RIGHT($A52,4)*1,""))</f>
        <v/>
      </c>
      <c r="Q52" s="13">
        <f>IF($A52="","",COUNTIFS($A$5:$A52,$A52))</f>
        <v/>
      </c>
      <c r="R52" s="14">
        <f>IF($A52="","",$A52&amp;"|"&amp;$Q52)</f>
        <v/>
      </c>
      <c r="S52" s="13">
        <f>IF($A52="","",IF($Q52=1,MAX($S$4:$S51)+1,""))</f>
        <v/>
      </c>
      <c r="T52" s="13">
        <f>IF($S52="","",IF(SUMIFS($L$5:$L$204,$A$5:$A$204,$A52)&gt;0,1,0))</f>
        <v/>
      </c>
    </row>
    <row r="53">
      <c r="A53" s="7" t="n"/>
      <c r="B53" s="7" t="n"/>
      <c r="C53" s="7" t="n"/>
      <c r="D53" s="8" t="n"/>
      <c r="E53" s="9" t="n"/>
      <c r="F53" s="10">
        <f>IF($A53="","",IF(OR($D53="",$E53=""),"",$D53*$E53))</f>
        <v/>
      </c>
      <c r="G53" s="7" t="n"/>
      <c r="H53" s="11" t="n"/>
      <c r="I53" s="12">
        <f>IF($A53="","",IF($H53="","",$H53+IFERROR(VLOOKUP($B53,Suppliers!$A$5:$I$54,7,FALSE),0)))</f>
        <v/>
      </c>
      <c r="J53" s="8" t="n"/>
      <c r="K53" s="11" t="n"/>
      <c r="L53" s="13">
        <f>IF($A53="","",IF($D53="","",$D53-$J53))</f>
        <v/>
      </c>
      <c r="M53" s="10">
        <f>IF($A53="","",IF(OR($L53="",$E53=""),"",$L53*$E53))</f>
        <v/>
      </c>
      <c r="N53" s="14">
        <f>IF($A53="","",IF($D53="","",IF($J53&gt;=$D53,"Received",IF($J53&gt;0,"Part received","Open"))))</f>
        <v/>
      </c>
      <c r="O53" s="13">
        <f>IF($A53="","",IF($L53="","",IF($L53&lt;=0,"",IF($I53="","",MAX(0,TODAY()-$I53)))))</f>
        <v/>
      </c>
      <c r="P53" s="13">
        <f>IF($A53="","",IFERROR(RIGHT($A53,4)*1,""))</f>
        <v/>
      </c>
      <c r="Q53" s="13">
        <f>IF($A53="","",COUNTIFS($A$5:$A53,$A53))</f>
        <v/>
      </c>
      <c r="R53" s="14">
        <f>IF($A53="","",$A53&amp;"|"&amp;$Q53)</f>
        <v/>
      </c>
      <c r="S53" s="13">
        <f>IF($A53="","",IF($Q53=1,MAX($S$4:$S52)+1,""))</f>
        <v/>
      </c>
      <c r="T53" s="13">
        <f>IF($S53="","",IF(SUMIFS($L$5:$L$204,$A$5:$A$204,$A53)&gt;0,1,0))</f>
        <v/>
      </c>
    </row>
    <row r="54">
      <c r="A54" s="7" t="n"/>
      <c r="B54" s="7" t="n"/>
      <c r="C54" s="7" t="n"/>
      <c r="D54" s="8" t="n"/>
      <c r="E54" s="9" t="n"/>
      <c r="F54" s="10">
        <f>IF($A54="","",IF(OR($D54="",$E54=""),"",$D54*$E54))</f>
        <v/>
      </c>
      <c r="G54" s="7" t="n"/>
      <c r="H54" s="11" t="n"/>
      <c r="I54" s="12">
        <f>IF($A54="","",IF($H54="","",$H54+IFERROR(VLOOKUP($B54,Suppliers!$A$5:$I$54,7,FALSE),0)))</f>
        <v/>
      </c>
      <c r="J54" s="8" t="n"/>
      <c r="K54" s="11" t="n"/>
      <c r="L54" s="13">
        <f>IF($A54="","",IF($D54="","",$D54-$J54))</f>
        <v/>
      </c>
      <c r="M54" s="10">
        <f>IF($A54="","",IF(OR($L54="",$E54=""),"",$L54*$E54))</f>
        <v/>
      </c>
      <c r="N54" s="14">
        <f>IF($A54="","",IF($D54="","",IF($J54&gt;=$D54,"Received",IF($J54&gt;0,"Part received","Open"))))</f>
        <v/>
      </c>
      <c r="O54" s="13">
        <f>IF($A54="","",IF($L54="","",IF($L54&lt;=0,"",IF($I54="","",MAX(0,TODAY()-$I54)))))</f>
        <v/>
      </c>
      <c r="P54" s="13">
        <f>IF($A54="","",IFERROR(RIGHT($A54,4)*1,""))</f>
        <v/>
      </c>
      <c r="Q54" s="13">
        <f>IF($A54="","",COUNTIFS($A$5:$A54,$A54))</f>
        <v/>
      </c>
      <c r="R54" s="14">
        <f>IF($A54="","",$A54&amp;"|"&amp;$Q54)</f>
        <v/>
      </c>
      <c r="S54" s="13">
        <f>IF($A54="","",IF($Q54=1,MAX($S$4:$S53)+1,""))</f>
        <v/>
      </c>
      <c r="T54" s="13">
        <f>IF($S54="","",IF(SUMIFS($L$5:$L$204,$A$5:$A$204,$A54)&gt;0,1,0))</f>
        <v/>
      </c>
    </row>
    <row r="55">
      <c r="A55" s="7" t="n"/>
      <c r="B55" s="7" t="n"/>
      <c r="C55" s="7" t="n"/>
      <c r="D55" s="8" t="n"/>
      <c r="E55" s="9" t="n"/>
      <c r="F55" s="10">
        <f>IF($A55="","",IF(OR($D55="",$E55=""),"",$D55*$E55))</f>
        <v/>
      </c>
      <c r="G55" s="7" t="n"/>
      <c r="H55" s="11" t="n"/>
      <c r="I55" s="12">
        <f>IF($A55="","",IF($H55="","",$H55+IFERROR(VLOOKUP($B55,Suppliers!$A$5:$I$54,7,FALSE),0)))</f>
        <v/>
      </c>
      <c r="J55" s="8" t="n"/>
      <c r="K55" s="11" t="n"/>
      <c r="L55" s="13">
        <f>IF($A55="","",IF($D55="","",$D55-$J55))</f>
        <v/>
      </c>
      <c r="M55" s="10">
        <f>IF($A55="","",IF(OR($L55="",$E55=""),"",$L55*$E55))</f>
        <v/>
      </c>
      <c r="N55" s="14">
        <f>IF($A55="","",IF($D55="","",IF($J55&gt;=$D55,"Received",IF($J55&gt;0,"Part received","Open"))))</f>
        <v/>
      </c>
      <c r="O55" s="13">
        <f>IF($A55="","",IF($L55="","",IF($L55&lt;=0,"",IF($I55="","",MAX(0,TODAY()-$I55)))))</f>
        <v/>
      </c>
      <c r="P55" s="13">
        <f>IF($A55="","",IFERROR(RIGHT($A55,4)*1,""))</f>
        <v/>
      </c>
      <c r="Q55" s="13">
        <f>IF($A55="","",COUNTIFS($A$5:$A55,$A55))</f>
        <v/>
      </c>
      <c r="R55" s="14">
        <f>IF($A55="","",$A55&amp;"|"&amp;$Q55)</f>
        <v/>
      </c>
      <c r="S55" s="13">
        <f>IF($A55="","",IF($Q55=1,MAX($S$4:$S54)+1,""))</f>
        <v/>
      </c>
      <c r="T55" s="13">
        <f>IF($S55="","",IF(SUMIFS($L$5:$L$204,$A$5:$A$204,$A55)&gt;0,1,0))</f>
        <v/>
      </c>
    </row>
    <row r="56">
      <c r="A56" s="7" t="n"/>
      <c r="B56" s="7" t="n"/>
      <c r="C56" s="7" t="n"/>
      <c r="D56" s="8" t="n"/>
      <c r="E56" s="9" t="n"/>
      <c r="F56" s="10">
        <f>IF($A56="","",IF(OR($D56="",$E56=""),"",$D56*$E56))</f>
        <v/>
      </c>
      <c r="G56" s="7" t="n"/>
      <c r="H56" s="11" t="n"/>
      <c r="I56" s="12">
        <f>IF($A56="","",IF($H56="","",$H56+IFERROR(VLOOKUP($B56,Suppliers!$A$5:$I$54,7,FALSE),0)))</f>
        <v/>
      </c>
      <c r="J56" s="8" t="n"/>
      <c r="K56" s="11" t="n"/>
      <c r="L56" s="13">
        <f>IF($A56="","",IF($D56="","",$D56-$J56))</f>
        <v/>
      </c>
      <c r="M56" s="10">
        <f>IF($A56="","",IF(OR($L56="",$E56=""),"",$L56*$E56))</f>
        <v/>
      </c>
      <c r="N56" s="14">
        <f>IF($A56="","",IF($D56="","",IF($J56&gt;=$D56,"Received",IF($J56&gt;0,"Part received","Open"))))</f>
        <v/>
      </c>
      <c r="O56" s="13">
        <f>IF($A56="","",IF($L56="","",IF($L56&lt;=0,"",IF($I56="","",MAX(0,TODAY()-$I56)))))</f>
        <v/>
      </c>
      <c r="P56" s="13">
        <f>IF($A56="","",IFERROR(RIGHT($A56,4)*1,""))</f>
        <v/>
      </c>
      <c r="Q56" s="13">
        <f>IF($A56="","",COUNTIFS($A$5:$A56,$A56))</f>
        <v/>
      </c>
      <c r="R56" s="14">
        <f>IF($A56="","",$A56&amp;"|"&amp;$Q56)</f>
        <v/>
      </c>
      <c r="S56" s="13">
        <f>IF($A56="","",IF($Q56=1,MAX($S$4:$S55)+1,""))</f>
        <v/>
      </c>
      <c r="T56" s="13">
        <f>IF($S56="","",IF(SUMIFS($L$5:$L$204,$A$5:$A$204,$A56)&gt;0,1,0))</f>
        <v/>
      </c>
    </row>
    <row r="57">
      <c r="A57" s="7" t="n"/>
      <c r="B57" s="7" t="n"/>
      <c r="C57" s="7" t="n"/>
      <c r="D57" s="8" t="n"/>
      <c r="E57" s="9" t="n"/>
      <c r="F57" s="10">
        <f>IF($A57="","",IF(OR($D57="",$E57=""),"",$D57*$E57))</f>
        <v/>
      </c>
      <c r="G57" s="7" t="n"/>
      <c r="H57" s="11" t="n"/>
      <c r="I57" s="12">
        <f>IF($A57="","",IF($H57="","",$H57+IFERROR(VLOOKUP($B57,Suppliers!$A$5:$I$54,7,FALSE),0)))</f>
        <v/>
      </c>
      <c r="J57" s="8" t="n"/>
      <c r="K57" s="11" t="n"/>
      <c r="L57" s="13">
        <f>IF($A57="","",IF($D57="","",$D57-$J57))</f>
        <v/>
      </c>
      <c r="M57" s="10">
        <f>IF($A57="","",IF(OR($L57="",$E57=""),"",$L57*$E57))</f>
        <v/>
      </c>
      <c r="N57" s="14">
        <f>IF($A57="","",IF($D57="","",IF($J57&gt;=$D57,"Received",IF($J57&gt;0,"Part received","Open"))))</f>
        <v/>
      </c>
      <c r="O57" s="13">
        <f>IF($A57="","",IF($L57="","",IF($L57&lt;=0,"",IF($I57="","",MAX(0,TODAY()-$I57)))))</f>
        <v/>
      </c>
      <c r="P57" s="13">
        <f>IF($A57="","",IFERROR(RIGHT($A57,4)*1,""))</f>
        <v/>
      </c>
      <c r="Q57" s="13">
        <f>IF($A57="","",COUNTIFS($A$5:$A57,$A57))</f>
        <v/>
      </c>
      <c r="R57" s="14">
        <f>IF($A57="","",$A57&amp;"|"&amp;$Q57)</f>
        <v/>
      </c>
      <c r="S57" s="13">
        <f>IF($A57="","",IF($Q57=1,MAX($S$4:$S56)+1,""))</f>
        <v/>
      </c>
      <c r="T57" s="13">
        <f>IF($S57="","",IF(SUMIFS($L$5:$L$204,$A$5:$A$204,$A57)&gt;0,1,0))</f>
        <v/>
      </c>
    </row>
    <row r="58">
      <c r="A58" s="7" t="n"/>
      <c r="B58" s="7" t="n"/>
      <c r="C58" s="7" t="n"/>
      <c r="D58" s="8" t="n"/>
      <c r="E58" s="9" t="n"/>
      <c r="F58" s="10">
        <f>IF($A58="","",IF(OR($D58="",$E58=""),"",$D58*$E58))</f>
        <v/>
      </c>
      <c r="G58" s="7" t="n"/>
      <c r="H58" s="11" t="n"/>
      <c r="I58" s="12">
        <f>IF($A58="","",IF($H58="","",$H58+IFERROR(VLOOKUP($B58,Suppliers!$A$5:$I$54,7,FALSE),0)))</f>
        <v/>
      </c>
      <c r="J58" s="8" t="n"/>
      <c r="K58" s="11" t="n"/>
      <c r="L58" s="13">
        <f>IF($A58="","",IF($D58="","",$D58-$J58))</f>
        <v/>
      </c>
      <c r="M58" s="10">
        <f>IF($A58="","",IF(OR($L58="",$E58=""),"",$L58*$E58))</f>
        <v/>
      </c>
      <c r="N58" s="14">
        <f>IF($A58="","",IF($D58="","",IF($J58&gt;=$D58,"Received",IF($J58&gt;0,"Part received","Open"))))</f>
        <v/>
      </c>
      <c r="O58" s="13">
        <f>IF($A58="","",IF($L58="","",IF($L58&lt;=0,"",IF($I58="","",MAX(0,TODAY()-$I58)))))</f>
        <v/>
      </c>
      <c r="P58" s="13">
        <f>IF($A58="","",IFERROR(RIGHT($A58,4)*1,""))</f>
        <v/>
      </c>
      <c r="Q58" s="13">
        <f>IF($A58="","",COUNTIFS($A$5:$A58,$A58))</f>
        <v/>
      </c>
      <c r="R58" s="14">
        <f>IF($A58="","",$A58&amp;"|"&amp;$Q58)</f>
        <v/>
      </c>
      <c r="S58" s="13">
        <f>IF($A58="","",IF($Q58=1,MAX($S$4:$S57)+1,""))</f>
        <v/>
      </c>
      <c r="T58" s="13">
        <f>IF($S58="","",IF(SUMIFS($L$5:$L$204,$A$5:$A$204,$A58)&gt;0,1,0))</f>
        <v/>
      </c>
    </row>
    <row r="59">
      <c r="A59" s="7" t="n"/>
      <c r="B59" s="7" t="n"/>
      <c r="C59" s="7" t="n"/>
      <c r="D59" s="8" t="n"/>
      <c r="E59" s="9" t="n"/>
      <c r="F59" s="10">
        <f>IF($A59="","",IF(OR($D59="",$E59=""),"",$D59*$E59))</f>
        <v/>
      </c>
      <c r="G59" s="7" t="n"/>
      <c r="H59" s="11" t="n"/>
      <c r="I59" s="12">
        <f>IF($A59="","",IF($H59="","",$H59+IFERROR(VLOOKUP($B59,Suppliers!$A$5:$I$54,7,FALSE),0)))</f>
        <v/>
      </c>
      <c r="J59" s="8" t="n"/>
      <c r="K59" s="11" t="n"/>
      <c r="L59" s="13">
        <f>IF($A59="","",IF($D59="","",$D59-$J59))</f>
        <v/>
      </c>
      <c r="M59" s="10">
        <f>IF($A59="","",IF(OR($L59="",$E59=""),"",$L59*$E59))</f>
        <v/>
      </c>
      <c r="N59" s="14">
        <f>IF($A59="","",IF($D59="","",IF($J59&gt;=$D59,"Received",IF($J59&gt;0,"Part received","Open"))))</f>
        <v/>
      </c>
      <c r="O59" s="13">
        <f>IF($A59="","",IF($L59="","",IF($L59&lt;=0,"",IF($I59="","",MAX(0,TODAY()-$I59)))))</f>
        <v/>
      </c>
      <c r="P59" s="13">
        <f>IF($A59="","",IFERROR(RIGHT($A59,4)*1,""))</f>
        <v/>
      </c>
      <c r="Q59" s="13">
        <f>IF($A59="","",COUNTIFS($A$5:$A59,$A59))</f>
        <v/>
      </c>
      <c r="R59" s="14">
        <f>IF($A59="","",$A59&amp;"|"&amp;$Q59)</f>
        <v/>
      </c>
      <c r="S59" s="13">
        <f>IF($A59="","",IF($Q59=1,MAX($S$4:$S58)+1,""))</f>
        <v/>
      </c>
      <c r="T59" s="13">
        <f>IF($S59="","",IF(SUMIFS($L$5:$L$204,$A$5:$A$204,$A59)&gt;0,1,0))</f>
        <v/>
      </c>
    </row>
    <row r="60">
      <c r="A60" s="7" t="n"/>
      <c r="B60" s="7" t="n"/>
      <c r="C60" s="7" t="n"/>
      <c r="D60" s="8" t="n"/>
      <c r="E60" s="9" t="n"/>
      <c r="F60" s="10">
        <f>IF($A60="","",IF(OR($D60="",$E60=""),"",$D60*$E60))</f>
        <v/>
      </c>
      <c r="G60" s="7" t="n"/>
      <c r="H60" s="11" t="n"/>
      <c r="I60" s="12">
        <f>IF($A60="","",IF($H60="","",$H60+IFERROR(VLOOKUP($B60,Suppliers!$A$5:$I$54,7,FALSE),0)))</f>
        <v/>
      </c>
      <c r="J60" s="8" t="n"/>
      <c r="K60" s="11" t="n"/>
      <c r="L60" s="13">
        <f>IF($A60="","",IF($D60="","",$D60-$J60))</f>
        <v/>
      </c>
      <c r="M60" s="10">
        <f>IF($A60="","",IF(OR($L60="",$E60=""),"",$L60*$E60))</f>
        <v/>
      </c>
      <c r="N60" s="14">
        <f>IF($A60="","",IF($D60="","",IF($J60&gt;=$D60,"Received",IF($J60&gt;0,"Part received","Open"))))</f>
        <v/>
      </c>
      <c r="O60" s="13">
        <f>IF($A60="","",IF($L60="","",IF($L60&lt;=0,"",IF($I60="","",MAX(0,TODAY()-$I60)))))</f>
        <v/>
      </c>
      <c r="P60" s="13">
        <f>IF($A60="","",IFERROR(RIGHT($A60,4)*1,""))</f>
        <v/>
      </c>
      <c r="Q60" s="13">
        <f>IF($A60="","",COUNTIFS($A$5:$A60,$A60))</f>
        <v/>
      </c>
      <c r="R60" s="14">
        <f>IF($A60="","",$A60&amp;"|"&amp;$Q60)</f>
        <v/>
      </c>
      <c r="S60" s="13">
        <f>IF($A60="","",IF($Q60=1,MAX($S$4:$S59)+1,""))</f>
        <v/>
      </c>
      <c r="T60" s="13">
        <f>IF($S60="","",IF(SUMIFS($L$5:$L$204,$A$5:$A$204,$A60)&gt;0,1,0))</f>
        <v/>
      </c>
    </row>
    <row r="61">
      <c r="A61" s="7" t="n"/>
      <c r="B61" s="7" t="n"/>
      <c r="C61" s="7" t="n"/>
      <c r="D61" s="8" t="n"/>
      <c r="E61" s="9" t="n"/>
      <c r="F61" s="10">
        <f>IF($A61="","",IF(OR($D61="",$E61=""),"",$D61*$E61))</f>
        <v/>
      </c>
      <c r="G61" s="7" t="n"/>
      <c r="H61" s="11" t="n"/>
      <c r="I61" s="12">
        <f>IF($A61="","",IF($H61="","",$H61+IFERROR(VLOOKUP($B61,Suppliers!$A$5:$I$54,7,FALSE),0)))</f>
        <v/>
      </c>
      <c r="J61" s="8" t="n"/>
      <c r="K61" s="11" t="n"/>
      <c r="L61" s="13">
        <f>IF($A61="","",IF($D61="","",$D61-$J61))</f>
        <v/>
      </c>
      <c r="M61" s="10">
        <f>IF($A61="","",IF(OR($L61="",$E61=""),"",$L61*$E61))</f>
        <v/>
      </c>
      <c r="N61" s="14">
        <f>IF($A61="","",IF($D61="","",IF($J61&gt;=$D61,"Received",IF($J61&gt;0,"Part received","Open"))))</f>
        <v/>
      </c>
      <c r="O61" s="13">
        <f>IF($A61="","",IF($L61="","",IF($L61&lt;=0,"",IF($I61="","",MAX(0,TODAY()-$I61)))))</f>
        <v/>
      </c>
      <c r="P61" s="13">
        <f>IF($A61="","",IFERROR(RIGHT($A61,4)*1,""))</f>
        <v/>
      </c>
      <c r="Q61" s="13">
        <f>IF($A61="","",COUNTIFS($A$5:$A61,$A61))</f>
        <v/>
      </c>
      <c r="R61" s="14">
        <f>IF($A61="","",$A61&amp;"|"&amp;$Q61)</f>
        <v/>
      </c>
      <c r="S61" s="13">
        <f>IF($A61="","",IF($Q61=1,MAX($S$4:$S60)+1,""))</f>
        <v/>
      </c>
      <c r="T61" s="13">
        <f>IF($S61="","",IF(SUMIFS($L$5:$L$204,$A$5:$A$204,$A61)&gt;0,1,0))</f>
        <v/>
      </c>
    </row>
    <row r="62">
      <c r="A62" s="7" t="n"/>
      <c r="B62" s="7" t="n"/>
      <c r="C62" s="7" t="n"/>
      <c r="D62" s="8" t="n"/>
      <c r="E62" s="9" t="n"/>
      <c r="F62" s="10">
        <f>IF($A62="","",IF(OR($D62="",$E62=""),"",$D62*$E62))</f>
        <v/>
      </c>
      <c r="G62" s="7" t="n"/>
      <c r="H62" s="11" t="n"/>
      <c r="I62" s="12">
        <f>IF($A62="","",IF($H62="","",$H62+IFERROR(VLOOKUP($B62,Suppliers!$A$5:$I$54,7,FALSE),0)))</f>
        <v/>
      </c>
      <c r="J62" s="8" t="n"/>
      <c r="K62" s="11" t="n"/>
      <c r="L62" s="13">
        <f>IF($A62="","",IF($D62="","",$D62-$J62))</f>
        <v/>
      </c>
      <c r="M62" s="10">
        <f>IF($A62="","",IF(OR($L62="",$E62=""),"",$L62*$E62))</f>
        <v/>
      </c>
      <c r="N62" s="14">
        <f>IF($A62="","",IF($D62="","",IF($J62&gt;=$D62,"Received",IF($J62&gt;0,"Part received","Open"))))</f>
        <v/>
      </c>
      <c r="O62" s="13">
        <f>IF($A62="","",IF($L62="","",IF($L62&lt;=0,"",IF($I62="","",MAX(0,TODAY()-$I62)))))</f>
        <v/>
      </c>
      <c r="P62" s="13">
        <f>IF($A62="","",IFERROR(RIGHT($A62,4)*1,""))</f>
        <v/>
      </c>
      <c r="Q62" s="13">
        <f>IF($A62="","",COUNTIFS($A$5:$A62,$A62))</f>
        <v/>
      </c>
      <c r="R62" s="14">
        <f>IF($A62="","",$A62&amp;"|"&amp;$Q62)</f>
        <v/>
      </c>
      <c r="S62" s="13">
        <f>IF($A62="","",IF($Q62=1,MAX($S$4:$S61)+1,""))</f>
        <v/>
      </c>
      <c r="T62" s="13">
        <f>IF($S62="","",IF(SUMIFS($L$5:$L$204,$A$5:$A$204,$A62)&gt;0,1,0))</f>
        <v/>
      </c>
    </row>
    <row r="63">
      <c r="A63" s="7" t="n"/>
      <c r="B63" s="7" t="n"/>
      <c r="C63" s="7" t="n"/>
      <c r="D63" s="8" t="n"/>
      <c r="E63" s="9" t="n"/>
      <c r="F63" s="10">
        <f>IF($A63="","",IF(OR($D63="",$E63=""),"",$D63*$E63))</f>
        <v/>
      </c>
      <c r="G63" s="7" t="n"/>
      <c r="H63" s="11" t="n"/>
      <c r="I63" s="12">
        <f>IF($A63="","",IF($H63="","",$H63+IFERROR(VLOOKUP($B63,Suppliers!$A$5:$I$54,7,FALSE),0)))</f>
        <v/>
      </c>
      <c r="J63" s="8" t="n"/>
      <c r="K63" s="11" t="n"/>
      <c r="L63" s="13">
        <f>IF($A63="","",IF($D63="","",$D63-$J63))</f>
        <v/>
      </c>
      <c r="M63" s="10">
        <f>IF($A63="","",IF(OR($L63="",$E63=""),"",$L63*$E63))</f>
        <v/>
      </c>
      <c r="N63" s="14">
        <f>IF($A63="","",IF($D63="","",IF($J63&gt;=$D63,"Received",IF($J63&gt;0,"Part received","Open"))))</f>
        <v/>
      </c>
      <c r="O63" s="13">
        <f>IF($A63="","",IF($L63="","",IF($L63&lt;=0,"",IF($I63="","",MAX(0,TODAY()-$I63)))))</f>
        <v/>
      </c>
      <c r="P63" s="13">
        <f>IF($A63="","",IFERROR(RIGHT($A63,4)*1,""))</f>
        <v/>
      </c>
      <c r="Q63" s="13">
        <f>IF($A63="","",COUNTIFS($A$5:$A63,$A63))</f>
        <v/>
      </c>
      <c r="R63" s="14">
        <f>IF($A63="","",$A63&amp;"|"&amp;$Q63)</f>
        <v/>
      </c>
      <c r="S63" s="13">
        <f>IF($A63="","",IF($Q63=1,MAX($S$4:$S62)+1,""))</f>
        <v/>
      </c>
      <c r="T63" s="13">
        <f>IF($S63="","",IF(SUMIFS($L$5:$L$204,$A$5:$A$204,$A63)&gt;0,1,0))</f>
        <v/>
      </c>
    </row>
    <row r="64">
      <c r="A64" s="7" t="n"/>
      <c r="B64" s="7" t="n"/>
      <c r="C64" s="7" t="n"/>
      <c r="D64" s="8" t="n"/>
      <c r="E64" s="9" t="n"/>
      <c r="F64" s="10">
        <f>IF($A64="","",IF(OR($D64="",$E64=""),"",$D64*$E64))</f>
        <v/>
      </c>
      <c r="G64" s="7" t="n"/>
      <c r="H64" s="11" t="n"/>
      <c r="I64" s="12">
        <f>IF($A64="","",IF($H64="","",$H64+IFERROR(VLOOKUP($B64,Suppliers!$A$5:$I$54,7,FALSE),0)))</f>
        <v/>
      </c>
      <c r="J64" s="8" t="n"/>
      <c r="K64" s="11" t="n"/>
      <c r="L64" s="13">
        <f>IF($A64="","",IF($D64="","",$D64-$J64))</f>
        <v/>
      </c>
      <c r="M64" s="10">
        <f>IF($A64="","",IF(OR($L64="",$E64=""),"",$L64*$E64))</f>
        <v/>
      </c>
      <c r="N64" s="14">
        <f>IF($A64="","",IF($D64="","",IF($J64&gt;=$D64,"Received",IF($J64&gt;0,"Part received","Open"))))</f>
        <v/>
      </c>
      <c r="O64" s="13">
        <f>IF($A64="","",IF($L64="","",IF($L64&lt;=0,"",IF($I64="","",MAX(0,TODAY()-$I64)))))</f>
        <v/>
      </c>
      <c r="P64" s="13">
        <f>IF($A64="","",IFERROR(RIGHT($A64,4)*1,""))</f>
        <v/>
      </c>
      <c r="Q64" s="13">
        <f>IF($A64="","",COUNTIFS($A$5:$A64,$A64))</f>
        <v/>
      </c>
      <c r="R64" s="14">
        <f>IF($A64="","",$A64&amp;"|"&amp;$Q64)</f>
        <v/>
      </c>
      <c r="S64" s="13">
        <f>IF($A64="","",IF($Q64=1,MAX($S$4:$S63)+1,""))</f>
        <v/>
      </c>
      <c r="T64" s="13">
        <f>IF($S64="","",IF(SUMIFS($L$5:$L$204,$A$5:$A$204,$A64)&gt;0,1,0))</f>
        <v/>
      </c>
    </row>
    <row r="65">
      <c r="A65" s="7" t="n"/>
      <c r="B65" s="7" t="n"/>
      <c r="C65" s="7" t="n"/>
      <c r="D65" s="8" t="n"/>
      <c r="E65" s="9" t="n"/>
      <c r="F65" s="10">
        <f>IF($A65="","",IF(OR($D65="",$E65=""),"",$D65*$E65))</f>
        <v/>
      </c>
      <c r="G65" s="7" t="n"/>
      <c r="H65" s="11" t="n"/>
      <c r="I65" s="12">
        <f>IF($A65="","",IF($H65="","",$H65+IFERROR(VLOOKUP($B65,Suppliers!$A$5:$I$54,7,FALSE),0)))</f>
        <v/>
      </c>
      <c r="J65" s="8" t="n"/>
      <c r="K65" s="11" t="n"/>
      <c r="L65" s="13">
        <f>IF($A65="","",IF($D65="","",$D65-$J65))</f>
        <v/>
      </c>
      <c r="M65" s="10">
        <f>IF($A65="","",IF(OR($L65="",$E65=""),"",$L65*$E65))</f>
        <v/>
      </c>
      <c r="N65" s="14">
        <f>IF($A65="","",IF($D65="","",IF($J65&gt;=$D65,"Received",IF($J65&gt;0,"Part received","Open"))))</f>
        <v/>
      </c>
      <c r="O65" s="13">
        <f>IF($A65="","",IF($L65="","",IF($L65&lt;=0,"",IF($I65="","",MAX(0,TODAY()-$I65)))))</f>
        <v/>
      </c>
      <c r="P65" s="13">
        <f>IF($A65="","",IFERROR(RIGHT($A65,4)*1,""))</f>
        <v/>
      </c>
      <c r="Q65" s="13">
        <f>IF($A65="","",COUNTIFS($A$5:$A65,$A65))</f>
        <v/>
      </c>
      <c r="R65" s="14">
        <f>IF($A65="","",$A65&amp;"|"&amp;$Q65)</f>
        <v/>
      </c>
      <c r="S65" s="13">
        <f>IF($A65="","",IF($Q65=1,MAX($S$4:$S64)+1,""))</f>
        <v/>
      </c>
      <c r="T65" s="13">
        <f>IF($S65="","",IF(SUMIFS($L$5:$L$204,$A$5:$A$204,$A65)&gt;0,1,0))</f>
        <v/>
      </c>
    </row>
    <row r="66">
      <c r="A66" s="7" t="n"/>
      <c r="B66" s="7" t="n"/>
      <c r="C66" s="7" t="n"/>
      <c r="D66" s="8" t="n"/>
      <c r="E66" s="9" t="n"/>
      <c r="F66" s="10">
        <f>IF($A66="","",IF(OR($D66="",$E66=""),"",$D66*$E66))</f>
        <v/>
      </c>
      <c r="G66" s="7" t="n"/>
      <c r="H66" s="11" t="n"/>
      <c r="I66" s="12">
        <f>IF($A66="","",IF($H66="","",$H66+IFERROR(VLOOKUP($B66,Suppliers!$A$5:$I$54,7,FALSE),0)))</f>
        <v/>
      </c>
      <c r="J66" s="8" t="n"/>
      <c r="K66" s="11" t="n"/>
      <c r="L66" s="13">
        <f>IF($A66="","",IF($D66="","",$D66-$J66))</f>
        <v/>
      </c>
      <c r="M66" s="10">
        <f>IF($A66="","",IF(OR($L66="",$E66=""),"",$L66*$E66))</f>
        <v/>
      </c>
      <c r="N66" s="14">
        <f>IF($A66="","",IF($D66="","",IF($J66&gt;=$D66,"Received",IF($J66&gt;0,"Part received","Open"))))</f>
        <v/>
      </c>
      <c r="O66" s="13">
        <f>IF($A66="","",IF($L66="","",IF($L66&lt;=0,"",IF($I66="","",MAX(0,TODAY()-$I66)))))</f>
        <v/>
      </c>
      <c r="P66" s="13">
        <f>IF($A66="","",IFERROR(RIGHT($A66,4)*1,""))</f>
        <v/>
      </c>
      <c r="Q66" s="13">
        <f>IF($A66="","",COUNTIFS($A$5:$A66,$A66))</f>
        <v/>
      </c>
      <c r="R66" s="14">
        <f>IF($A66="","",$A66&amp;"|"&amp;$Q66)</f>
        <v/>
      </c>
      <c r="S66" s="13">
        <f>IF($A66="","",IF($Q66=1,MAX($S$4:$S65)+1,""))</f>
        <v/>
      </c>
      <c r="T66" s="13">
        <f>IF($S66="","",IF(SUMIFS($L$5:$L$204,$A$5:$A$204,$A66)&gt;0,1,0))</f>
        <v/>
      </c>
    </row>
    <row r="67">
      <c r="A67" s="7" t="n"/>
      <c r="B67" s="7" t="n"/>
      <c r="C67" s="7" t="n"/>
      <c r="D67" s="8" t="n"/>
      <c r="E67" s="9" t="n"/>
      <c r="F67" s="10">
        <f>IF($A67="","",IF(OR($D67="",$E67=""),"",$D67*$E67))</f>
        <v/>
      </c>
      <c r="G67" s="7" t="n"/>
      <c r="H67" s="11" t="n"/>
      <c r="I67" s="12">
        <f>IF($A67="","",IF($H67="","",$H67+IFERROR(VLOOKUP($B67,Suppliers!$A$5:$I$54,7,FALSE),0)))</f>
        <v/>
      </c>
      <c r="J67" s="8" t="n"/>
      <c r="K67" s="11" t="n"/>
      <c r="L67" s="13">
        <f>IF($A67="","",IF($D67="","",$D67-$J67))</f>
        <v/>
      </c>
      <c r="M67" s="10">
        <f>IF($A67="","",IF(OR($L67="",$E67=""),"",$L67*$E67))</f>
        <v/>
      </c>
      <c r="N67" s="14">
        <f>IF($A67="","",IF($D67="","",IF($J67&gt;=$D67,"Received",IF($J67&gt;0,"Part received","Open"))))</f>
        <v/>
      </c>
      <c r="O67" s="13">
        <f>IF($A67="","",IF($L67="","",IF($L67&lt;=0,"",IF($I67="","",MAX(0,TODAY()-$I67)))))</f>
        <v/>
      </c>
      <c r="P67" s="13">
        <f>IF($A67="","",IFERROR(RIGHT($A67,4)*1,""))</f>
        <v/>
      </c>
      <c r="Q67" s="13">
        <f>IF($A67="","",COUNTIFS($A$5:$A67,$A67))</f>
        <v/>
      </c>
      <c r="R67" s="14">
        <f>IF($A67="","",$A67&amp;"|"&amp;$Q67)</f>
        <v/>
      </c>
      <c r="S67" s="13">
        <f>IF($A67="","",IF($Q67=1,MAX($S$4:$S66)+1,""))</f>
        <v/>
      </c>
      <c r="T67" s="13">
        <f>IF($S67="","",IF(SUMIFS($L$5:$L$204,$A$5:$A$204,$A67)&gt;0,1,0))</f>
        <v/>
      </c>
    </row>
    <row r="68">
      <c r="A68" s="7" t="n"/>
      <c r="B68" s="7" t="n"/>
      <c r="C68" s="7" t="n"/>
      <c r="D68" s="8" t="n"/>
      <c r="E68" s="9" t="n"/>
      <c r="F68" s="10">
        <f>IF($A68="","",IF(OR($D68="",$E68=""),"",$D68*$E68))</f>
        <v/>
      </c>
      <c r="G68" s="7" t="n"/>
      <c r="H68" s="11" t="n"/>
      <c r="I68" s="12">
        <f>IF($A68="","",IF($H68="","",$H68+IFERROR(VLOOKUP($B68,Suppliers!$A$5:$I$54,7,FALSE),0)))</f>
        <v/>
      </c>
      <c r="J68" s="8" t="n"/>
      <c r="K68" s="11" t="n"/>
      <c r="L68" s="13">
        <f>IF($A68="","",IF($D68="","",$D68-$J68))</f>
        <v/>
      </c>
      <c r="M68" s="10">
        <f>IF($A68="","",IF(OR($L68="",$E68=""),"",$L68*$E68))</f>
        <v/>
      </c>
      <c r="N68" s="14">
        <f>IF($A68="","",IF($D68="","",IF($J68&gt;=$D68,"Received",IF($J68&gt;0,"Part received","Open"))))</f>
        <v/>
      </c>
      <c r="O68" s="13">
        <f>IF($A68="","",IF($L68="","",IF($L68&lt;=0,"",IF($I68="","",MAX(0,TODAY()-$I68)))))</f>
        <v/>
      </c>
      <c r="P68" s="13">
        <f>IF($A68="","",IFERROR(RIGHT($A68,4)*1,""))</f>
        <v/>
      </c>
      <c r="Q68" s="13">
        <f>IF($A68="","",COUNTIFS($A$5:$A68,$A68))</f>
        <v/>
      </c>
      <c r="R68" s="14">
        <f>IF($A68="","",$A68&amp;"|"&amp;$Q68)</f>
        <v/>
      </c>
      <c r="S68" s="13">
        <f>IF($A68="","",IF($Q68=1,MAX($S$4:$S67)+1,""))</f>
        <v/>
      </c>
      <c r="T68" s="13">
        <f>IF($S68="","",IF(SUMIFS($L$5:$L$204,$A$5:$A$204,$A68)&gt;0,1,0))</f>
        <v/>
      </c>
    </row>
    <row r="69">
      <c r="A69" s="7" t="n"/>
      <c r="B69" s="7" t="n"/>
      <c r="C69" s="7" t="n"/>
      <c r="D69" s="8" t="n"/>
      <c r="E69" s="9" t="n"/>
      <c r="F69" s="10">
        <f>IF($A69="","",IF(OR($D69="",$E69=""),"",$D69*$E69))</f>
        <v/>
      </c>
      <c r="G69" s="7" t="n"/>
      <c r="H69" s="11" t="n"/>
      <c r="I69" s="12">
        <f>IF($A69="","",IF($H69="","",$H69+IFERROR(VLOOKUP($B69,Suppliers!$A$5:$I$54,7,FALSE),0)))</f>
        <v/>
      </c>
      <c r="J69" s="8" t="n"/>
      <c r="K69" s="11" t="n"/>
      <c r="L69" s="13">
        <f>IF($A69="","",IF($D69="","",$D69-$J69))</f>
        <v/>
      </c>
      <c r="M69" s="10">
        <f>IF($A69="","",IF(OR($L69="",$E69=""),"",$L69*$E69))</f>
        <v/>
      </c>
      <c r="N69" s="14">
        <f>IF($A69="","",IF($D69="","",IF($J69&gt;=$D69,"Received",IF($J69&gt;0,"Part received","Open"))))</f>
        <v/>
      </c>
      <c r="O69" s="13">
        <f>IF($A69="","",IF($L69="","",IF($L69&lt;=0,"",IF($I69="","",MAX(0,TODAY()-$I69)))))</f>
        <v/>
      </c>
      <c r="P69" s="13">
        <f>IF($A69="","",IFERROR(RIGHT($A69,4)*1,""))</f>
        <v/>
      </c>
      <c r="Q69" s="13">
        <f>IF($A69="","",COUNTIFS($A$5:$A69,$A69))</f>
        <v/>
      </c>
      <c r="R69" s="14">
        <f>IF($A69="","",$A69&amp;"|"&amp;$Q69)</f>
        <v/>
      </c>
      <c r="S69" s="13">
        <f>IF($A69="","",IF($Q69=1,MAX($S$4:$S68)+1,""))</f>
        <v/>
      </c>
      <c r="T69" s="13">
        <f>IF($S69="","",IF(SUMIFS($L$5:$L$204,$A$5:$A$204,$A69)&gt;0,1,0))</f>
        <v/>
      </c>
    </row>
    <row r="70">
      <c r="A70" s="7" t="n"/>
      <c r="B70" s="7" t="n"/>
      <c r="C70" s="7" t="n"/>
      <c r="D70" s="8" t="n"/>
      <c r="E70" s="9" t="n"/>
      <c r="F70" s="10">
        <f>IF($A70="","",IF(OR($D70="",$E70=""),"",$D70*$E70))</f>
        <v/>
      </c>
      <c r="G70" s="7" t="n"/>
      <c r="H70" s="11" t="n"/>
      <c r="I70" s="12">
        <f>IF($A70="","",IF($H70="","",$H70+IFERROR(VLOOKUP($B70,Suppliers!$A$5:$I$54,7,FALSE),0)))</f>
        <v/>
      </c>
      <c r="J70" s="8" t="n"/>
      <c r="K70" s="11" t="n"/>
      <c r="L70" s="13">
        <f>IF($A70="","",IF($D70="","",$D70-$J70))</f>
        <v/>
      </c>
      <c r="M70" s="10">
        <f>IF($A70="","",IF(OR($L70="",$E70=""),"",$L70*$E70))</f>
        <v/>
      </c>
      <c r="N70" s="14">
        <f>IF($A70="","",IF($D70="","",IF($J70&gt;=$D70,"Received",IF($J70&gt;0,"Part received","Open"))))</f>
        <v/>
      </c>
      <c r="O70" s="13">
        <f>IF($A70="","",IF($L70="","",IF($L70&lt;=0,"",IF($I70="","",MAX(0,TODAY()-$I70)))))</f>
        <v/>
      </c>
      <c r="P70" s="13">
        <f>IF($A70="","",IFERROR(RIGHT($A70,4)*1,""))</f>
        <v/>
      </c>
      <c r="Q70" s="13">
        <f>IF($A70="","",COUNTIFS($A$5:$A70,$A70))</f>
        <v/>
      </c>
      <c r="R70" s="14">
        <f>IF($A70="","",$A70&amp;"|"&amp;$Q70)</f>
        <v/>
      </c>
      <c r="S70" s="13">
        <f>IF($A70="","",IF($Q70=1,MAX($S$4:$S69)+1,""))</f>
        <v/>
      </c>
      <c r="T70" s="13">
        <f>IF($S70="","",IF(SUMIFS($L$5:$L$204,$A$5:$A$204,$A70)&gt;0,1,0))</f>
        <v/>
      </c>
    </row>
    <row r="71">
      <c r="A71" s="7" t="n"/>
      <c r="B71" s="7" t="n"/>
      <c r="C71" s="7" t="n"/>
      <c r="D71" s="8" t="n"/>
      <c r="E71" s="9" t="n"/>
      <c r="F71" s="10">
        <f>IF($A71="","",IF(OR($D71="",$E71=""),"",$D71*$E71))</f>
        <v/>
      </c>
      <c r="G71" s="7" t="n"/>
      <c r="H71" s="11" t="n"/>
      <c r="I71" s="12">
        <f>IF($A71="","",IF($H71="","",$H71+IFERROR(VLOOKUP($B71,Suppliers!$A$5:$I$54,7,FALSE),0)))</f>
        <v/>
      </c>
      <c r="J71" s="8" t="n"/>
      <c r="K71" s="11" t="n"/>
      <c r="L71" s="13">
        <f>IF($A71="","",IF($D71="","",$D71-$J71))</f>
        <v/>
      </c>
      <c r="M71" s="10">
        <f>IF($A71="","",IF(OR($L71="",$E71=""),"",$L71*$E71))</f>
        <v/>
      </c>
      <c r="N71" s="14">
        <f>IF($A71="","",IF($D71="","",IF($J71&gt;=$D71,"Received",IF($J71&gt;0,"Part received","Open"))))</f>
        <v/>
      </c>
      <c r="O71" s="13">
        <f>IF($A71="","",IF($L71="","",IF($L71&lt;=0,"",IF($I71="","",MAX(0,TODAY()-$I71)))))</f>
        <v/>
      </c>
      <c r="P71" s="13">
        <f>IF($A71="","",IFERROR(RIGHT($A71,4)*1,""))</f>
        <v/>
      </c>
      <c r="Q71" s="13">
        <f>IF($A71="","",COUNTIFS($A$5:$A71,$A71))</f>
        <v/>
      </c>
      <c r="R71" s="14">
        <f>IF($A71="","",$A71&amp;"|"&amp;$Q71)</f>
        <v/>
      </c>
      <c r="S71" s="13">
        <f>IF($A71="","",IF($Q71=1,MAX($S$4:$S70)+1,""))</f>
        <v/>
      </c>
      <c r="T71" s="13">
        <f>IF($S71="","",IF(SUMIFS($L$5:$L$204,$A$5:$A$204,$A71)&gt;0,1,0))</f>
        <v/>
      </c>
    </row>
    <row r="72">
      <c r="A72" s="7" t="n"/>
      <c r="B72" s="7" t="n"/>
      <c r="C72" s="7" t="n"/>
      <c r="D72" s="8" t="n"/>
      <c r="E72" s="9" t="n"/>
      <c r="F72" s="10">
        <f>IF($A72="","",IF(OR($D72="",$E72=""),"",$D72*$E72))</f>
        <v/>
      </c>
      <c r="G72" s="7" t="n"/>
      <c r="H72" s="11" t="n"/>
      <c r="I72" s="12">
        <f>IF($A72="","",IF($H72="","",$H72+IFERROR(VLOOKUP($B72,Suppliers!$A$5:$I$54,7,FALSE),0)))</f>
        <v/>
      </c>
      <c r="J72" s="8" t="n"/>
      <c r="K72" s="11" t="n"/>
      <c r="L72" s="13">
        <f>IF($A72="","",IF($D72="","",$D72-$J72))</f>
        <v/>
      </c>
      <c r="M72" s="10">
        <f>IF($A72="","",IF(OR($L72="",$E72=""),"",$L72*$E72))</f>
        <v/>
      </c>
      <c r="N72" s="14">
        <f>IF($A72="","",IF($D72="","",IF($J72&gt;=$D72,"Received",IF($J72&gt;0,"Part received","Open"))))</f>
        <v/>
      </c>
      <c r="O72" s="13">
        <f>IF($A72="","",IF($L72="","",IF($L72&lt;=0,"",IF($I72="","",MAX(0,TODAY()-$I72)))))</f>
        <v/>
      </c>
      <c r="P72" s="13">
        <f>IF($A72="","",IFERROR(RIGHT($A72,4)*1,""))</f>
        <v/>
      </c>
      <c r="Q72" s="13">
        <f>IF($A72="","",COUNTIFS($A$5:$A72,$A72))</f>
        <v/>
      </c>
      <c r="R72" s="14">
        <f>IF($A72="","",$A72&amp;"|"&amp;$Q72)</f>
        <v/>
      </c>
      <c r="S72" s="13">
        <f>IF($A72="","",IF($Q72=1,MAX($S$4:$S71)+1,""))</f>
        <v/>
      </c>
      <c r="T72" s="13">
        <f>IF($S72="","",IF(SUMIFS($L$5:$L$204,$A$5:$A$204,$A72)&gt;0,1,0))</f>
        <v/>
      </c>
    </row>
    <row r="73">
      <c r="A73" s="7" t="n"/>
      <c r="B73" s="7" t="n"/>
      <c r="C73" s="7" t="n"/>
      <c r="D73" s="8" t="n"/>
      <c r="E73" s="9" t="n"/>
      <c r="F73" s="10">
        <f>IF($A73="","",IF(OR($D73="",$E73=""),"",$D73*$E73))</f>
        <v/>
      </c>
      <c r="G73" s="7" t="n"/>
      <c r="H73" s="11" t="n"/>
      <c r="I73" s="12">
        <f>IF($A73="","",IF($H73="","",$H73+IFERROR(VLOOKUP($B73,Suppliers!$A$5:$I$54,7,FALSE),0)))</f>
        <v/>
      </c>
      <c r="J73" s="8" t="n"/>
      <c r="K73" s="11" t="n"/>
      <c r="L73" s="13">
        <f>IF($A73="","",IF($D73="","",$D73-$J73))</f>
        <v/>
      </c>
      <c r="M73" s="10">
        <f>IF($A73="","",IF(OR($L73="",$E73=""),"",$L73*$E73))</f>
        <v/>
      </c>
      <c r="N73" s="14">
        <f>IF($A73="","",IF($D73="","",IF($J73&gt;=$D73,"Received",IF($J73&gt;0,"Part received","Open"))))</f>
        <v/>
      </c>
      <c r="O73" s="13">
        <f>IF($A73="","",IF($L73="","",IF($L73&lt;=0,"",IF($I73="","",MAX(0,TODAY()-$I73)))))</f>
        <v/>
      </c>
      <c r="P73" s="13">
        <f>IF($A73="","",IFERROR(RIGHT($A73,4)*1,""))</f>
        <v/>
      </c>
      <c r="Q73" s="13">
        <f>IF($A73="","",COUNTIFS($A$5:$A73,$A73))</f>
        <v/>
      </c>
      <c r="R73" s="14">
        <f>IF($A73="","",$A73&amp;"|"&amp;$Q73)</f>
        <v/>
      </c>
      <c r="S73" s="13">
        <f>IF($A73="","",IF($Q73=1,MAX($S$4:$S72)+1,""))</f>
        <v/>
      </c>
      <c r="T73" s="13">
        <f>IF($S73="","",IF(SUMIFS($L$5:$L$204,$A$5:$A$204,$A73)&gt;0,1,0))</f>
        <v/>
      </c>
    </row>
    <row r="74">
      <c r="A74" s="7" t="n"/>
      <c r="B74" s="7" t="n"/>
      <c r="C74" s="7" t="n"/>
      <c r="D74" s="8" t="n"/>
      <c r="E74" s="9" t="n"/>
      <c r="F74" s="10">
        <f>IF($A74="","",IF(OR($D74="",$E74=""),"",$D74*$E74))</f>
        <v/>
      </c>
      <c r="G74" s="7" t="n"/>
      <c r="H74" s="11" t="n"/>
      <c r="I74" s="12">
        <f>IF($A74="","",IF($H74="","",$H74+IFERROR(VLOOKUP($B74,Suppliers!$A$5:$I$54,7,FALSE),0)))</f>
        <v/>
      </c>
      <c r="J74" s="8" t="n"/>
      <c r="K74" s="11" t="n"/>
      <c r="L74" s="13">
        <f>IF($A74="","",IF($D74="","",$D74-$J74))</f>
        <v/>
      </c>
      <c r="M74" s="10">
        <f>IF($A74="","",IF(OR($L74="",$E74=""),"",$L74*$E74))</f>
        <v/>
      </c>
      <c r="N74" s="14">
        <f>IF($A74="","",IF($D74="","",IF($J74&gt;=$D74,"Received",IF($J74&gt;0,"Part received","Open"))))</f>
        <v/>
      </c>
      <c r="O74" s="13">
        <f>IF($A74="","",IF($L74="","",IF($L74&lt;=0,"",IF($I74="","",MAX(0,TODAY()-$I74)))))</f>
        <v/>
      </c>
      <c r="P74" s="13">
        <f>IF($A74="","",IFERROR(RIGHT($A74,4)*1,""))</f>
        <v/>
      </c>
      <c r="Q74" s="13">
        <f>IF($A74="","",COUNTIFS($A$5:$A74,$A74))</f>
        <v/>
      </c>
      <c r="R74" s="14">
        <f>IF($A74="","",$A74&amp;"|"&amp;$Q74)</f>
        <v/>
      </c>
      <c r="S74" s="13">
        <f>IF($A74="","",IF($Q74=1,MAX($S$4:$S73)+1,""))</f>
        <v/>
      </c>
      <c r="T74" s="13">
        <f>IF($S74="","",IF(SUMIFS($L$5:$L$204,$A$5:$A$204,$A74)&gt;0,1,0))</f>
        <v/>
      </c>
    </row>
    <row r="75">
      <c r="A75" s="7" t="n"/>
      <c r="B75" s="7" t="n"/>
      <c r="C75" s="7" t="n"/>
      <c r="D75" s="8" t="n"/>
      <c r="E75" s="9" t="n"/>
      <c r="F75" s="10">
        <f>IF($A75="","",IF(OR($D75="",$E75=""),"",$D75*$E75))</f>
        <v/>
      </c>
      <c r="G75" s="7" t="n"/>
      <c r="H75" s="11" t="n"/>
      <c r="I75" s="12">
        <f>IF($A75="","",IF($H75="","",$H75+IFERROR(VLOOKUP($B75,Suppliers!$A$5:$I$54,7,FALSE),0)))</f>
        <v/>
      </c>
      <c r="J75" s="8" t="n"/>
      <c r="K75" s="11" t="n"/>
      <c r="L75" s="13">
        <f>IF($A75="","",IF($D75="","",$D75-$J75))</f>
        <v/>
      </c>
      <c r="M75" s="10">
        <f>IF($A75="","",IF(OR($L75="",$E75=""),"",$L75*$E75))</f>
        <v/>
      </c>
      <c r="N75" s="14">
        <f>IF($A75="","",IF($D75="","",IF($J75&gt;=$D75,"Received",IF($J75&gt;0,"Part received","Open"))))</f>
        <v/>
      </c>
      <c r="O75" s="13">
        <f>IF($A75="","",IF($L75="","",IF($L75&lt;=0,"",IF($I75="","",MAX(0,TODAY()-$I75)))))</f>
        <v/>
      </c>
      <c r="P75" s="13">
        <f>IF($A75="","",IFERROR(RIGHT($A75,4)*1,""))</f>
        <v/>
      </c>
      <c r="Q75" s="13">
        <f>IF($A75="","",COUNTIFS($A$5:$A75,$A75))</f>
        <v/>
      </c>
      <c r="R75" s="14">
        <f>IF($A75="","",$A75&amp;"|"&amp;$Q75)</f>
        <v/>
      </c>
      <c r="S75" s="13">
        <f>IF($A75="","",IF($Q75=1,MAX($S$4:$S74)+1,""))</f>
        <v/>
      </c>
      <c r="T75" s="13">
        <f>IF($S75="","",IF(SUMIFS($L$5:$L$204,$A$5:$A$204,$A75)&gt;0,1,0))</f>
        <v/>
      </c>
    </row>
    <row r="76">
      <c r="A76" s="7" t="n"/>
      <c r="B76" s="7" t="n"/>
      <c r="C76" s="7" t="n"/>
      <c r="D76" s="8" t="n"/>
      <c r="E76" s="9" t="n"/>
      <c r="F76" s="10">
        <f>IF($A76="","",IF(OR($D76="",$E76=""),"",$D76*$E76))</f>
        <v/>
      </c>
      <c r="G76" s="7" t="n"/>
      <c r="H76" s="11" t="n"/>
      <c r="I76" s="12">
        <f>IF($A76="","",IF($H76="","",$H76+IFERROR(VLOOKUP($B76,Suppliers!$A$5:$I$54,7,FALSE),0)))</f>
        <v/>
      </c>
      <c r="J76" s="8" t="n"/>
      <c r="K76" s="11" t="n"/>
      <c r="L76" s="13">
        <f>IF($A76="","",IF($D76="","",$D76-$J76))</f>
        <v/>
      </c>
      <c r="M76" s="10">
        <f>IF($A76="","",IF(OR($L76="",$E76=""),"",$L76*$E76))</f>
        <v/>
      </c>
      <c r="N76" s="14">
        <f>IF($A76="","",IF($D76="","",IF($J76&gt;=$D76,"Received",IF($J76&gt;0,"Part received","Open"))))</f>
        <v/>
      </c>
      <c r="O76" s="13">
        <f>IF($A76="","",IF($L76="","",IF($L76&lt;=0,"",IF($I76="","",MAX(0,TODAY()-$I76)))))</f>
        <v/>
      </c>
      <c r="P76" s="13">
        <f>IF($A76="","",IFERROR(RIGHT($A76,4)*1,""))</f>
        <v/>
      </c>
      <c r="Q76" s="13">
        <f>IF($A76="","",COUNTIFS($A$5:$A76,$A76))</f>
        <v/>
      </c>
      <c r="R76" s="14">
        <f>IF($A76="","",$A76&amp;"|"&amp;$Q76)</f>
        <v/>
      </c>
      <c r="S76" s="13">
        <f>IF($A76="","",IF($Q76=1,MAX($S$4:$S75)+1,""))</f>
        <v/>
      </c>
      <c r="T76" s="13">
        <f>IF($S76="","",IF(SUMIFS($L$5:$L$204,$A$5:$A$204,$A76)&gt;0,1,0))</f>
        <v/>
      </c>
    </row>
    <row r="77">
      <c r="A77" s="7" t="n"/>
      <c r="B77" s="7" t="n"/>
      <c r="C77" s="7" t="n"/>
      <c r="D77" s="8" t="n"/>
      <c r="E77" s="9" t="n"/>
      <c r="F77" s="10">
        <f>IF($A77="","",IF(OR($D77="",$E77=""),"",$D77*$E77))</f>
        <v/>
      </c>
      <c r="G77" s="7" t="n"/>
      <c r="H77" s="11" t="n"/>
      <c r="I77" s="12">
        <f>IF($A77="","",IF($H77="","",$H77+IFERROR(VLOOKUP($B77,Suppliers!$A$5:$I$54,7,FALSE),0)))</f>
        <v/>
      </c>
      <c r="J77" s="8" t="n"/>
      <c r="K77" s="11" t="n"/>
      <c r="L77" s="13">
        <f>IF($A77="","",IF($D77="","",$D77-$J77))</f>
        <v/>
      </c>
      <c r="M77" s="10">
        <f>IF($A77="","",IF(OR($L77="",$E77=""),"",$L77*$E77))</f>
        <v/>
      </c>
      <c r="N77" s="14">
        <f>IF($A77="","",IF($D77="","",IF($J77&gt;=$D77,"Received",IF($J77&gt;0,"Part received","Open"))))</f>
        <v/>
      </c>
      <c r="O77" s="13">
        <f>IF($A77="","",IF($L77="","",IF($L77&lt;=0,"",IF($I77="","",MAX(0,TODAY()-$I77)))))</f>
        <v/>
      </c>
      <c r="P77" s="13">
        <f>IF($A77="","",IFERROR(RIGHT($A77,4)*1,""))</f>
        <v/>
      </c>
      <c r="Q77" s="13">
        <f>IF($A77="","",COUNTIFS($A$5:$A77,$A77))</f>
        <v/>
      </c>
      <c r="R77" s="14">
        <f>IF($A77="","",$A77&amp;"|"&amp;$Q77)</f>
        <v/>
      </c>
      <c r="S77" s="13">
        <f>IF($A77="","",IF($Q77=1,MAX($S$4:$S76)+1,""))</f>
        <v/>
      </c>
      <c r="T77" s="13">
        <f>IF($S77="","",IF(SUMIFS($L$5:$L$204,$A$5:$A$204,$A77)&gt;0,1,0))</f>
        <v/>
      </c>
    </row>
    <row r="78">
      <c r="A78" s="7" t="n"/>
      <c r="B78" s="7" t="n"/>
      <c r="C78" s="7" t="n"/>
      <c r="D78" s="8" t="n"/>
      <c r="E78" s="9" t="n"/>
      <c r="F78" s="10">
        <f>IF($A78="","",IF(OR($D78="",$E78=""),"",$D78*$E78))</f>
        <v/>
      </c>
      <c r="G78" s="7" t="n"/>
      <c r="H78" s="11" t="n"/>
      <c r="I78" s="12">
        <f>IF($A78="","",IF($H78="","",$H78+IFERROR(VLOOKUP($B78,Suppliers!$A$5:$I$54,7,FALSE),0)))</f>
        <v/>
      </c>
      <c r="J78" s="8" t="n"/>
      <c r="K78" s="11" t="n"/>
      <c r="L78" s="13">
        <f>IF($A78="","",IF($D78="","",$D78-$J78))</f>
        <v/>
      </c>
      <c r="M78" s="10">
        <f>IF($A78="","",IF(OR($L78="",$E78=""),"",$L78*$E78))</f>
        <v/>
      </c>
      <c r="N78" s="14">
        <f>IF($A78="","",IF($D78="","",IF($J78&gt;=$D78,"Received",IF($J78&gt;0,"Part received","Open"))))</f>
        <v/>
      </c>
      <c r="O78" s="13">
        <f>IF($A78="","",IF($L78="","",IF($L78&lt;=0,"",IF($I78="","",MAX(0,TODAY()-$I78)))))</f>
        <v/>
      </c>
      <c r="P78" s="13">
        <f>IF($A78="","",IFERROR(RIGHT($A78,4)*1,""))</f>
        <v/>
      </c>
      <c r="Q78" s="13">
        <f>IF($A78="","",COUNTIFS($A$5:$A78,$A78))</f>
        <v/>
      </c>
      <c r="R78" s="14">
        <f>IF($A78="","",$A78&amp;"|"&amp;$Q78)</f>
        <v/>
      </c>
      <c r="S78" s="13">
        <f>IF($A78="","",IF($Q78=1,MAX($S$4:$S77)+1,""))</f>
        <v/>
      </c>
      <c r="T78" s="13">
        <f>IF($S78="","",IF(SUMIFS($L$5:$L$204,$A$5:$A$204,$A78)&gt;0,1,0))</f>
        <v/>
      </c>
    </row>
    <row r="79">
      <c r="A79" s="7" t="n"/>
      <c r="B79" s="7" t="n"/>
      <c r="C79" s="7" t="n"/>
      <c r="D79" s="8" t="n"/>
      <c r="E79" s="9" t="n"/>
      <c r="F79" s="10">
        <f>IF($A79="","",IF(OR($D79="",$E79=""),"",$D79*$E79))</f>
        <v/>
      </c>
      <c r="G79" s="7" t="n"/>
      <c r="H79" s="11" t="n"/>
      <c r="I79" s="12">
        <f>IF($A79="","",IF($H79="","",$H79+IFERROR(VLOOKUP($B79,Suppliers!$A$5:$I$54,7,FALSE),0)))</f>
        <v/>
      </c>
      <c r="J79" s="8" t="n"/>
      <c r="K79" s="11" t="n"/>
      <c r="L79" s="13">
        <f>IF($A79="","",IF($D79="","",$D79-$J79))</f>
        <v/>
      </c>
      <c r="M79" s="10">
        <f>IF($A79="","",IF(OR($L79="",$E79=""),"",$L79*$E79))</f>
        <v/>
      </c>
      <c r="N79" s="14">
        <f>IF($A79="","",IF($D79="","",IF($J79&gt;=$D79,"Received",IF($J79&gt;0,"Part received","Open"))))</f>
        <v/>
      </c>
      <c r="O79" s="13">
        <f>IF($A79="","",IF($L79="","",IF($L79&lt;=0,"",IF($I79="","",MAX(0,TODAY()-$I79)))))</f>
        <v/>
      </c>
      <c r="P79" s="13">
        <f>IF($A79="","",IFERROR(RIGHT($A79,4)*1,""))</f>
        <v/>
      </c>
      <c r="Q79" s="13">
        <f>IF($A79="","",COUNTIFS($A$5:$A79,$A79))</f>
        <v/>
      </c>
      <c r="R79" s="14">
        <f>IF($A79="","",$A79&amp;"|"&amp;$Q79)</f>
        <v/>
      </c>
      <c r="S79" s="13">
        <f>IF($A79="","",IF($Q79=1,MAX($S$4:$S78)+1,""))</f>
        <v/>
      </c>
      <c r="T79" s="13">
        <f>IF($S79="","",IF(SUMIFS($L$5:$L$204,$A$5:$A$204,$A79)&gt;0,1,0))</f>
        <v/>
      </c>
    </row>
    <row r="80">
      <c r="A80" s="7" t="n"/>
      <c r="B80" s="7" t="n"/>
      <c r="C80" s="7" t="n"/>
      <c r="D80" s="8" t="n"/>
      <c r="E80" s="9" t="n"/>
      <c r="F80" s="10">
        <f>IF($A80="","",IF(OR($D80="",$E80=""),"",$D80*$E80))</f>
        <v/>
      </c>
      <c r="G80" s="7" t="n"/>
      <c r="H80" s="11" t="n"/>
      <c r="I80" s="12">
        <f>IF($A80="","",IF($H80="","",$H80+IFERROR(VLOOKUP($B80,Suppliers!$A$5:$I$54,7,FALSE),0)))</f>
        <v/>
      </c>
      <c r="J80" s="8" t="n"/>
      <c r="K80" s="11" t="n"/>
      <c r="L80" s="13">
        <f>IF($A80="","",IF($D80="","",$D80-$J80))</f>
        <v/>
      </c>
      <c r="M80" s="10">
        <f>IF($A80="","",IF(OR($L80="",$E80=""),"",$L80*$E80))</f>
        <v/>
      </c>
      <c r="N80" s="14">
        <f>IF($A80="","",IF($D80="","",IF($J80&gt;=$D80,"Received",IF($J80&gt;0,"Part received","Open"))))</f>
        <v/>
      </c>
      <c r="O80" s="13">
        <f>IF($A80="","",IF($L80="","",IF($L80&lt;=0,"",IF($I80="","",MAX(0,TODAY()-$I80)))))</f>
        <v/>
      </c>
      <c r="P80" s="13">
        <f>IF($A80="","",IFERROR(RIGHT($A80,4)*1,""))</f>
        <v/>
      </c>
      <c r="Q80" s="13">
        <f>IF($A80="","",COUNTIFS($A$5:$A80,$A80))</f>
        <v/>
      </c>
      <c r="R80" s="14">
        <f>IF($A80="","",$A80&amp;"|"&amp;$Q80)</f>
        <v/>
      </c>
      <c r="S80" s="13">
        <f>IF($A80="","",IF($Q80=1,MAX($S$4:$S79)+1,""))</f>
        <v/>
      </c>
      <c r="T80" s="13">
        <f>IF($S80="","",IF(SUMIFS($L$5:$L$204,$A$5:$A$204,$A80)&gt;0,1,0))</f>
        <v/>
      </c>
    </row>
    <row r="81">
      <c r="A81" s="7" t="n"/>
      <c r="B81" s="7" t="n"/>
      <c r="C81" s="7" t="n"/>
      <c r="D81" s="8" t="n"/>
      <c r="E81" s="9" t="n"/>
      <c r="F81" s="10">
        <f>IF($A81="","",IF(OR($D81="",$E81=""),"",$D81*$E81))</f>
        <v/>
      </c>
      <c r="G81" s="7" t="n"/>
      <c r="H81" s="11" t="n"/>
      <c r="I81" s="12">
        <f>IF($A81="","",IF($H81="","",$H81+IFERROR(VLOOKUP($B81,Suppliers!$A$5:$I$54,7,FALSE),0)))</f>
        <v/>
      </c>
      <c r="J81" s="8" t="n"/>
      <c r="K81" s="11" t="n"/>
      <c r="L81" s="13">
        <f>IF($A81="","",IF($D81="","",$D81-$J81))</f>
        <v/>
      </c>
      <c r="M81" s="10">
        <f>IF($A81="","",IF(OR($L81="",$E81=""),"",$L81*$E81))</f>
        <v/>
      </c>
      <c r="N81" s="14">
        <f>IF($A81="","",IF($D81="","",IF($J81&gt;=$D81,"Received",IF($J81&gt;0,"Part received","Open"))))</f>
        <v/>
      </c>
      <c r="O81" s="13">
        <f>IF($A81="","",IF($L81="","",IF($L81&lt;=0,"",IF($I81="","",MAX(0,TODAY()-$I81)))))</f>
        <v/>
      </c>
      <c r="P81" s="13">
        <f>IF($A81="","",IFERROR(RIGHT($A81,4)*1,""))</f>
        <v/>
      </c>
      <c r="Q81" s="13">
        <f>IF($A81="","",COUNTIFS($A$5:$A81,$A81))</f>
        <v/>
      </c>
      <c r="R81" s="14">
        <f>IF($A81="","",$A81&amp;"|"&amp;$Q81)</f>
        <v/>
      </c>
      <c r="S81" s="13">
        <f>IF($A81="","",IF($Q81=1,MAX($S$4:$S80)+1,""))</f>
        <v/>
      </c>
      <c r="T81" s="13">
        <f>IF($S81="","",IF(SUMIFS($L$5:$L$204,$A$5:$A$204,$A81)&gt;0,1,0))</f>
        <v/>
      </c>
    </row>
    <row r="82">
      <c r="A82" s="7" t="n"/>
      <c r="B82" s="7" t="n"/>
      <c r="C82" s="7" t="n"/>
      <c r="D82" s="8" t="n"/>
      <c r="E82" s="9" t="n"/>
      <c r="F82" s="10">
        <f>IF($A82="","",IF(OR($D82="",$E82=""),"",$D82*$E82))</f>
        <v/>
      </c>
      <c r="G82" s="7" t="n"/>
      <c r="H82" s="11" t="n"/>
      <c r="I82" s="12">
        <f>IF($A82="","",IF($H82="","",$H82+IFERROR(VLOOKUP($B82,Suppliers!$A$5:$I$54,7,FALSE),0)))</f>
        <v/>
      </c>
      <c r="J82" s="8" t="n"/>
      <c r="K82" s="11" t="n"/>
      <c r="L82" s="13">
        <f>IF($A82="","",IF($D82="","",$D82-$J82))</f>
        <v/>
      </c>
      <c r="M82" s="10">
        <f>IF($A82="","",IF(OR($L82="",$E82=""),"",$L82*$E82))</f>
        <v/>
      </c>
      <c r="N82" s="14">
        <f>IF($A82="","",IF($D82="","",IF($J82&gt;=$D82,"Received",IF($J82&gt;0,"Part received","Open"))))</f>
        <v/>
      </c>
      <c r="O82" s="13">
        <f>IF($A82="","",IF($L82="","",IF($L82&lt;=0,"",IF($I82="","",MAX(0,TODAY()-$I82)))))</f>
        <v/>
      </c>
      <c r="P82" s="13">
        <f>IF($A82="","",IFERROR(RIGHT($A82,4)*1,""))</f>
        <v/>
      </c>
      <c r="Q82" s="13">
        <f>IF($A82="","",COUNTIFS($A$5:$A82,$A82))</f>
        <v/>
      </c>
      <c r="R82" s="14">
        <f>IF($A82="","",$A82&amp;"|"&amp;$Q82)</f>
        <v/>
      </c>
      <c r="S82" s="13">
        <f>IF($A82="","",IF($Q82=1,MAX($S$4:$S81)+1,""))</f>
        <v/>
      </c>
      <c r="T82" s="13">
        <f>IF($S82="","",IF(SUMIFS($L$5:$L$204,$A$5:$A$204,$A82)&gt;0,1,0))</f>
        <v/>
      </c>
    </row>
    <row r="83">
      <c r="A83" s="7" t="n"/>
      <c r="B83" s="7" t="n"/>
      <c r="C83" s="7" t="n"/>
      <c r="D83" s="8" t="n"/>
      <c r="E83" s="9" t="n"/>
      <c r="F83" s="10">
        <f>IF($A83="","",IF(OR($D83="",$E83=""),"",$D83*$E83))</f>
        <v/>
      </c>
      <c r="G83" s="7" t="n"/>
      <c r="H83" s="11" t="n"/>
      <c r="I83" s="12">
        <f>IF($A83="","",IF($H83="","",$H83+IFERROR(VLOOKUP($B83,Suppliers!$A$5:$I$54,7,FALSE),0)))</f>
        <v/>
      </c>
      <c r="J83" s="8" t="n"/>
      <c r="K83" s="11" t="n"/>
      <c r="L83" s="13">
        <f>IF($A83="","",IF($D83="","",$D83-$J83))</f>
        <v/>
      </c>
      <c r="M83" s="10">
        <f>IF($A83="","",IF(OR($L83="",$E83=""),"",$L83*$E83))</f>
        <v/>
      </c>
      <c r="N83" s="14">
        <f>IF($A83="","",IF($D83="","",IF($J83&gt;=$D83,"Received",IF($J83&gt;0,"Part received","Open"))))</f>
        <v/>
      </c>
      <c r="O83" s="13">
        <f>IF($A83="","",IF($L83="","",IF($L83&lt;=0,"",IF($I83="","",MAX(0,TODAY()-$I83)))))</f>
        <v/>
      </c>
      <c r="P83" s="13">
        <f>IF($A83="","",IFERROR(RIGHT($A83,4)*1,""))</f>
        <v/>
      </c>
      <c r="Q83" s="13">
        <f>IF($A83="","",COUNTIFS($A$5:$A83,$A83))</f>
        <v/>
      </c>
      <c r="R83" s="14">
        <f>IF($A83="","",$A83&amp;"|"&amp;$Q83)</f>
        <v/>
      </c>
      <c r="S83" s="13">
        <f>IF($A83="","",IF($Q83=1,MAX($S$4:$S82)+1,""))</f>
        <v/>
      </c>
      <c r="T83" s="13">
        <f>IF($S83="","",IF(SUMIFS($L$5:$L$204,$A$5:$A$204,$A83)&gt;0,1,0))</f>
        <v/>
      </c>
    </row>
    <row r="84">
      <c r="A84" s="7" t="n"/>
      <c r="B84" s="7" t="n"/>
      <c r="C84" s="7" t="n"/>
      <c r="D84" s="8" t="n"/>
      <c r="E84" s="9" t="n"/>
      <c r="F84" s="10">
        <f>IF($A84="","",IF(OR($D84="",$E84=""),"",$D84*$E84))</f>
        <v/>
      </c>
      <c r="G84" s="7" t="n"/>
      <c r="H84" s="11" t="n"/>
      <c r="I84" s="12">
        <f>IF($A84="","",IF($H84="","",$H84+IFERROR(VLOOKUP($B84,Suppliers!$A$5:$I$54,7,FALSE),0)))</f>
        <v/>
      </c>
      <c r="J84" s="8" t="n"/>
      <c r="K84" s="11" t="n"/>
      <c r="L84" s="13">
        <f>IF($A84="","",IF($D84="","",$D84-$J84))</f>
        <v/>
      </c>
      <c r="M84" s="10">
        <f>IF($A84="","",IF(OR($L84="",$E84=""),"",$L84*$E84))</f>
        <v/>
      </c>
      <c r="N84" s="14">
        <f>IF($A84="","",IF($D84="","",IF($J84&gt;=$D84,"Received",IF($J84&gt;0,"Part received","Open"))))</f>
        <v/>
      </c>
      <c r="O84" s="13">
        <f>IF($A84="","",IF($L84="","",IF($L84&lt;=0,"",IF($I84="","",MAX(0,TODAY()-$I84)))))</f>
        <v/>
      </c>
      <c r="P84" s="13">
        <f>IF($A84="","",IFERROR(RIGHT($A84,4)*1,""))</f>
        <v/>
      </c>
      <c r="Q84" s="13">
        <f>IF($A84="","",COUNTIFS($A$5:$A84,$A84))</f>
        <v/>
      </c>
      <c r="R84" s="14">
        <f>IF($A84="","",$A84&amp;"|"&amp;$Q84)</f>
        <v/>
      </c>
      <c r="S84" s="13">
        <f>IF($A84="","",IF($Q84=1,MAX($S$4:$S83)+1,""))</f>
        <v/>
      </c>
      <c r="T84" s="13">
        <f>IF($S84="","",IF(SUMIFS($L$5:$L$204,$A$5:$A$204,$A84)&gt;0,1,0))</f>
        <v/>
      </c>
    </row>
    <row r="85">
      <c r="A85" s="7" t="n"/>
      <c r="B85" s="7" t="n"/>
      <c r="C85" s="7" t="n"/>
      <c r="D85" s="8" t="n"/>
      <c r="E85" s="9" t="n"/>
      <c r="F85" s="10">
        <f>IF($A85="","",IF(OR($D85="",$E85=""),"",$D85*$E85))</f>
        <v/>
      </c>
      <c r="G85" s="7" t="n"/>
      <c r="H85" s="11" t="n"/>
      <c r="I85" s="12">
        <f>IF($A85="","",IF($H85="","",$H85+IFERROR(VLOOKUP($B85,Suppliers!$A$5:$I$54,7,FALSE),0)))</f>
        <v/>
      </c>
      <c r="J85" s="8" t="n"/>
      <c r="K85" s="11" t="n"/>
      <c r="L85" s="13">
        <f>IF($A85="","",IF($D85="","",$D85-$J85))</f>
        <v/>
      </c>
      <c r="M85" s="10">
        <f>IF($A85="","",IF(OR($L85="",$E85=""),"",$L85*$E85))</f>
        <v/>
      </c>
      <c r="N85" s="14">
        <f>IF($A85="","",IF($D85="","",IF($J85&gt;=$D85,"Received",IF($J85&gt;0,"Part received","Open"))))</f>
        <v/>
      </c>
      <c r="O85" s="13">
        <f>IF($A85="","",IF($L85="","",IF($L85&lt;=0,"",IF($I85="","",MAX(0,TODAY()-$I85)))))</f>
        <v/>
      </c>
      <c r="P85" s="13">
        <f>IF($A85="","",IFERROR(RIGHT($A85,4)*1,""))</f>
        <v/>
      </c>
      <c r="Q85" s="13">
        <f>IF($A85="","",COUNTIFS($A$5:$A85,$A85))</f>
        <v/>
      </c>
      <c r="R85" s="14">
        <f>IF($A85="","",$A85&amp;"|"&amp;$Q85)</f>
        <v/>
      </c>
      <c r="S85" s="13">
        <f>IF($A85="","",IF($Q85=1,MAX($S$4:$S84)+1,""))</f>
        <v/>
      </c>
      <c r="T85" s="13">
        <f>IF($S85="","",IF(SUMIFS($L$5:$L$204,$A$5:$A$204,$A85)&gt;0,1,0))</f>
        <v/>
      </c>
    </row>
    <row r="86">
      <c r="A86" s="7" t="n"/>
      <c r="B86" s="7" t="n"/>
      <c r="C86" s="7" t="n"/>
      <c r="D86" s="8" t="n"/>
      <c r="E86" s="9" t="n"/>
      <c r="F86" s="10">
        <f>IF($A86="","",IF(OR($D86="",$E86=""),"",$D86*$E86))</f>
        <v/>
      </c>
      <c r="G86" s="7" t="n"/>
      <c r="H86" s="11" t="n"/>
      <c r="I86" s="12">
        <f>IF($A86="","",IF($H86="","",$H86+IFERROR(VLOOKUP($B86,Suppliers!$A$5:$I$54,7,FALSE),0)))</f>
        <v/>
      </c>
      <c r="J86" s="8" t="n"/>
      <c r="K86" s="11" t="n"/>
      <c r="L86" s="13">
        <f>IF($A86="","",IF($D86="","",$D86-$J86))</f>
        <v/>
      </c>
      <c r="M86" s="10">
        <f>IF($A86="","",IF(OR($L86="",$E86=""),"",$L86*$E86))</f>
        <v/>
      </c>
      <c r="N86" s="14">
        <f>IF($A86="","",IF($D86="","",IF($J86&gt;=$D86,"Received",IF($J86&gt;0,"Part received","Open"))))</f>
        <v/>
      </c>
      <c r="O86" s="13">
        <f>IF($A86="","",IF($L86="","",IF($L86&lt;=0,"",IF($I86="","",MAX(0,TODAY()-$I86)))))</f>
        <v/>
      </c>
      <c r="P86" s="13">
        <f>IF($A86="","",IFERROR(RIGHT($A86,4)*1,""))</f>
        <v/>
      </c>
      <c r="Q86" s="13">
        <f>IF($A86="","",COUNTIFS($A$5:$A86,$A86))</f>
        <v/>
      </c>
      <c r="R86" s="14">
        <f>IF($A86="","",$A86&amp;"|"&amp;$Q86)</f>
        <v/>
      </c>
      <c r="S86" s="13">
        <f>IF($A86="","",IF($Q86=1,MAX($S$4:$S85)+1,""))</f>
        <v/>
      </c>
      <c r="T86" s="13">
        <f>IF($S86="","",IF(SUMIFS($L$5:$L$204,$A$5:$A$204,$A86)&gt;0,1,0))</f>
        <v/>
      </c>
    </row>
    <row r="87">
      <c r="A87" s="7" t="n"/>
      <c r="B87" s="7" t="n"/>
      <c r="C87" s="7" t="n"/>
      <c r="D87" s="8" t="n"/>
      <c r="E87" s="9" t="n"/>
      <c r="F87" s="10">
        <f>IF($A87="","",IF(OR($D87="",$E87=""),"",$D87*$E87))</f>
        <v/>
      </c>
      <c r="G87" s="7" t="n"/>
      <c r="H87" s="11" t="n"/>
      <c r="I87" s="12">
        <f>IF($A87="","",IF($H87="","",$H87+IFERROR(VLOOKUP($B87,Suppliers!$A$5:$I$54,7,FALSE),0)))</f>
        <v/>
      </c>
      <c r="J87" s="8" t="n"/>
      <c r="K87" s="11" t="n"/>
      <c r="L87" s="13">
        <f>IF($A87="","",IF($D87="","",$D87-$J87))</f>
        <v/>
      </c>
      <c r="M87" s="10">
        <f>IF($A87="","",IF(OR($L87="",$E87=""),"",$L87*$E87))</f>
        <v/>
      </c>
      <c r="N87" s="14">
        <f>IF($A87="","",IF($D87="","",IF($J87&gt;=$D87,"Received",IF($J87&gt;0,"Part received","Open"))))</f>
        <v/>
      </c>
      <c r="O87" s="13">
        <f>IF($A87="","",IF($L87="","",IF($L87&lt;=0,"",IF($I87="","",MAX(0,TODAY()-$I87)))))</f>
        <v/>
      </c>
      <c r="P87" s="13">
        <f>IF($A87="","",IFERROR(RIGHT($A87,4)*1,""))</f>
        <v/>
      </c>
      <c r="Q87" s="13">
        <f>IF($A87="","",COUNTIFS($A$5:$A87,$A87))</f>
        <v/>
      </c>
      <c r="R87" s="14">
        <f>IF($A87="","",$A87&amp;"|"&amp;$Q87)</f>
        <v/>
      </c>
      <c r="S87" s="13">
        <f>IF($A87="","",IF($Q87=1,MAX($S$4:$S86)+1,""))</f>
        <v/>
      </c>
      <c r="T87" s="13">
        <f>IF($S87="","",IF(SUMIFS($L$5:$L$204,$A$5:$A$204,$A87)&gt;0,1,0))</f>
        <v/>
      </c>
    </row>
    <row r="88">
      <c r="A88" s="7" t="n"/>
      <c r="B88" s="7" t="n"/>
      <c r="C88" s="7" t="n"/>
      <c r="D88" s="8" t="n"/>
      <c r="E88" s="9" t="n"/>
      <c r="F88" s="10">
        <f>IF($A88="","",IF(OR($D88="",$E88=""),"",$D88*$E88))</f>
        <v/>
      </c>
      <c r="G88" s="7" t="n"/>
      <c r="H88" s="11" t="n"/>
      <c r="I88" s="12">
        <f>IF($A88="","",IF($H88="","",$H88+IFERROR(VLOOKUP($B88,Suppliers!$A$5:$I$54,7,FALSE),0)))</f>
        <v/>
      </c>
      <c r="J88" s="8" t="n"/>
      <c r="K88" s="11" t="n"/>
      <c r="L88" s="13">
        <f>IF($A88="","",IF($D88="","",$D88-$J88))</f>
        <v/>
      </c>
      <c r="M88" s="10">
        <f>IF($A88="","",IF(OR($L88="",$E88=""),"",$L88*$E88))</f>
        <v/>
      </c>
      <c r="N88" s="14">
        <f>IF($A88="","",IF($D88="","",IF($J88&gt;=$D88,"Received",IF($J88&gt;0,"Part received","Open"))))</f>
        <v/>
      </c>
      <c r="O88" s="13">
        <f>IF($A88="","",IF($L88="","",IF($L88&lt;=0,"",IF($I88="","",MAX(0,TODAY()-$I88)))))</f>
        <v/>
      </c>
      <c r="P88" s="13">
        <f>IF($A88="","",IFERROR(RIGHT($A88,4)*1,""))</f>
        <v/>
      </c>
      <c r="Q88" s="13">
        <f>IF($A88="","",COUNTIFS($A$5:$A88,$A88))</f>
        <v/>
      </c>
      <c r="R88" s="14">
        <f>IF($A88="","",$A88&amp;"|"&amp;$Q88)</f>
        <v/>
      </c>
      <c r="S88" s="13">
        <f>IF($A88="","",IF($Q88=1,MAX($S$4:$S87)+1,""))</f>
        <v/>
      </c>
      <c r="T88" s="13">
        <f>IF($S88="","",IF(SUMIFS($L$5:$L$204,$A$5:$A$204,$A88)&gt;0,1,0))</f>
        <v/>
      </c>
    </row>
    <row r="89">
      <c r="A89" s="7" t="n"/>
      <c r="B89" s="7" t="n"/>
      <c r="C89" s="7" t="n"/>
      <c r="D89" s="8" t="n"/>
      <c r="E89" s="9" t="n"/>
      <c r="F89" s="10">
        <f>IF($A89="","",IF(OR($D89="",$E89=""),"",$D89*$E89))</f>
        <v/>
      </c>
      <c r="G89" s="7" t="n"/>
      <c r="H89" s="11" t="n"/>
      <c r="I89" s="12">
        <f>IF($A89="","",IF($H89="","",$H89+IFERROR(VLOOKUP($B89,Suppliers!$A$5:$I$54,7,FALSE),0)))</f>
        <v/>
      </c>
      <c r="J89" s="8" t="n"/>
      <c r="K89" s="11" t="n"/>
      <c r="L89" s="13">
        <f>IF($A89="","",IF($D89="","",$D89-$J89))</f>
        <v/>
      </c>
      <c r="M89" s="10">
        <f>IF($A89="","",IF(OR($L89="",$E89=""),"",$L89*$E89))</f>
        <v/>
      </c>
      <c r="N89" s="14">
        <f>IF($A89="","",IF($D89="","",IF($J89&gt;=$D89,"Received",IF($J89&gt;0,"Part received","Open"))))</f>
        <v/>
      </c>
      <c r="O89" s="13">
        <f>IF($A89="","",IF($L89="","",IF($L89&lt;=0,"",IF($I89="","",MAX(0,TODAY()-$I89)))))</f>
        <v/>
      </c>
      <c r="P89" s="13">
        <f>IF($A89="","",IFERROR(RIGHT($A89,4)*1,""))</f>
        <v/>
      </c>
      <c r="Q89" s="13">
        <f>IF($A89="","",COUNTIFS($A$5:$A89,$A89))</f>
        <v/>
      </c>
      <c r="R89" s="14">
        <f>IF($A89="","",$A89&amp;"|"&amp;$Q89)</f>
        <v/>
      </c>
      <c r="S89" s="13">
        <f>IF($A89="","",IF($Q89=1,MAX($S$4:$S88)+1,""))</f>
        <v/>
      </c>
      <c r="T89" s="13">
        <f>IF($S89="","",IF(SUMIFS($L$5:$L$204,$A$5:$A$204,$A89)&gt;0,1,0))</f>
        <v/>
      </c>
    </row>
    <row r="90">
      <c r="A90" s="7" t="n"/>
      <c r="B90" s="7" t="n"/>
      <c r="C90" s="7" t="n"/>
      <c r="D90" s="8" t="n"/>
      <c r="E90" s="9" t="n"/>
      <c r="F90" s="10">
        <f>IF($A90="","",IF(OR($D90="",$E90=""),"",$D90*$E90))</f>
        <v/>
      </c>
      <c r="G90" s="7" t="n"/>
      <c r="H90" s="11" t="n"/>
      <c r="I90" s="12">
        <f>IF($A90="","",IF($H90="","",$H90+IFERROR(VLOOKUP($B90,Suppliers!$A$5:$I$54,7,FALSE),0)))</f>
        <v/>
      </c>
      <c r="J90" s="8" t="n"/>
      <c r="K90" s="11" t="n"/>
      <c r="L90" s="13">
        <f>IF($A90="","",IF($D90="","",$D90-$J90))</f>
        <v/>
      </c>
      <c r="M90" s="10">
        <f>IF($A90="","",IF(OR($L90="",$E90=""),"",$L90*$E90))</f>
        <v/>
      </c>
      <c r="N90" s="14">
        <f>IF($A90="","",IF($D90="","",IF($J90&gt;=$D90,"Received",IF($J90&gt;0,"Part received","Open"))))</f>
        <v/>
      </c>
      <c r="O90" s="13">
        <f>IF($A90="","",IF($L90="","",IF($L90&lt;=0,"",IF($I90="","",MAX(0,TODAY()-$I90)))))</f>
        <v/>
      </c>
      <c r="P90" s="13">
        <f>IF($A90="","",IFERROR(RIGHT($A90,4)*1,""))</f>
        <v/>
      </c>
      <c r="Q90" s="13">
        <f>IF($A90="","",COUNTIFS($A$5:$A90,$A90))</f>
        <v/>
      </c>
      <c r="R90" s="14">
        <f>IF($A90="","",$A90&amp;"|"&amp;$Q90)</f>
        <v/>
      </c>
      <c r="S90" s="13">
        <f>IF($A90="","",IF($Q90=1,MAX($S$4:$S89)+1,""))</f>
        <v/>
      </c>
      <c r="T90" s="13">
        <f>IF($S90="","",IF(SUMIFS($L$5:$L$204,$A$5:$A$204,$A90)&gt;0,1,0))</f>
        <v/>
      </c>
    </row>
    <row r="91">
      <c r="A91" s="7" t="n"/>
      <c r="B91" s="7" t="n"/>
      <c r="C91" s="7" t="n"/>
      <c r="D91" s="8" t="n"/>
      <c r="E91" s="9" t="n"/>
      <c r="F91" s="10">
        <f>IF($A91="","",IF(OR($D91="",$E91=""),"",$D91*$E91))</f>
        <v/>
      </c>
      <c r="G91" s="7" t="n"/>
      <c r="H91" s="11" t="n"/>
      <c r="I91" s="12">
        <f>IF($A91="","",IF($H91="","",$H91+IFERROR(VLOOKUP($B91,Suppliers!$A$5:$I$54,7,FALSE),0)))</f>
        <v/>
      </c>
      <c r="J91" s="8" t="n"/>
      <c r="K91" s="11" t="n"/>
      <c r="L91" s="13">
        <f>IF($A91="","",IF($D91="","",$D91-$J91))</f>
        <v/>
      </c>
      <c r="M91" s="10">
        <f>IF($A91="","",IF(OR($L91="",$E91=""),"",$L91*$E91))</f>
        <v/>
      </c>
      <c r="N91" s="14">
        <f>IF($A91="","",IF($D91="","",IF($J91&gt;=$D91,"Received",IF($J91&gt;0,"Part received","Open"))))</f>
        <v/>
      </c>
      <c r="O91" s="13">
        <f>IF($A91="","",IF($L91="","",IF($L91&lt;=0,"",IF($I91="","",MAX(0,TODAY()-$I91)))))</f>
        <v/>
      </c>
      <c r="P91" s="13">
        <f>IF($A91="","",IFERROR(RIGHT($A91,4)*1,""))</f>
        <v/>
      </c>
      <c r="Q91" s="13">
        <f>IF($A91="","",COUNTIFS($A$5:$A91,$A91))</f>
        <v/>
      </c>
      <c r="R91" s="14">
        <f>IF($A91="","",$A91&amp;"|"&amp;$Q91)</f>
        <v/>
      </c>
      <c r="S91" s="13">
        <f>IF($A91="","",IF($Q91=1,MAX($S$4:$S90)+1,""))</f>
        <v/>
      </c>
      <c r="T91" s="13">
        <f>IF($S91="","",IF(SUMIFS($L$5:$L$204,$A$5:$A$204,$A91)&gt;0,1,0))</f>
        <v/>
      </c>
    </row>
    <row r="92">
      <c r="A92" s="7" t="n"/>
      <c r="B92" s="7" t="n"/>
      <c r="C92" s="7" t="n"/>
      <c r="D92" s="8" t="n"/>
      <c r="E92" s="9" t="n"/>
      <c r="F92" s="10">
        <f>IF($A92="","",IF(OR($D92="",$E92=""),"",$D92*$E92))</f>
        <v/>
      </c>
      <c r="G92" s="7" t="n"/>
      <c r="H92" s="11" t="n"/>
      <c r="I92" s="12">
        <f>IF($A92="","",IF($H92="","",$H92+IFERROR(VLOOKUP($B92,Suppliers!$A$5:$I$54,7,FALSE),0)))</f>
        <v/>
      </c>
      <c r="J92" s="8" t="n"/>
      <c r="K92" s="11" t="n"/>
      <c r="L92" s="13">
        <f>IF($A92="","",IF($D92="","",$D92-$J92))</f>
        <v/>
      </c>
      <c r="M92" s="10">
        <f>IF($A92="","",IF(OR($L92="",$E92=""),"",$L92*$E92))</f>
        <v/>
      </c>
      <c r="N92" s="14">
        <f>IF($A92="","",IF($D92="","",IF($J92&gt;=$D92,"Received",IF($J92&gt;0,"Part received","Open"))))</f>
        <v/>
      </c>
      <c r="O92" s="13">
        <f>IF($A92="","",IF($L92="","",IF($L92&lt;=0,"",IF($I92="","",MAX(0,TODAY()-$I92)))))</f>
        <v/>
      </c>
      <c r="P92" s="13">
        <f>IF($A92="","",IFERROR(RIGHT($A92,4)*1,""))</f>
        <v/>
      </c>
      <c r="Q92" s="13">
        <f>IF($A92="","",COUNTIFS($A$5:$A92,$A92))</f>
        <v/>
      </c>
      <c r="R92" s="14">
        <f>IF($A92="","",$A92&amp;"|"&amp;$Q92)</f>
        <v/>
      </c>
      <c r="S92" s="13">
        <f>IF($A92="","",IF($Q92=1,MAX($S$4:$S91)+1,""))</f>
        <v/>
      </c>
      <c r="T92" s="13">
        <f>IF($S92="","",IF(SUMIFS($L$5:$L$204,$A$5:$A$204,$A92)&gt;0,1,0))</f>
        <v/>
      </c>
    </row>
    <row r="93">
      <c r="A93" s="7" t="n"/>
      <c r="B93" s="7" t="n"/>
      <c r="C93" s="7" t="n"/>
      <c r="D93" s="8" t="n"/>
      <c r="E93" s="9" t="n"/>
      <c r="F93" s="10">
        <f>IF($A93="","",IF(OR($D93="",$E93=""),"",$D93*$E93))</f>
        <v/>
      </c>
      <c r="G93" s="7" t="n"/>
      <c r="H93" s="11" t="n"/>
      <c r="I93" s="12">
        <f>IF($A93="","",IF($H93="","",$H93+IFERROR(VLOOKUP($B93,Suppliers!$A$5:$I$54,7,FALSE),0)))</f>
        <v/>
      </c>
      <c r="J93" s="8" t="n"/>
      <c r="K93" s="11" t="n"/>
      <c r="L93" s="13">
        <f>IF($A93="","",IF($D93="","",$D93-$J93))</f>
        <v/>
      </c>
      <c r="M93" s="10">
        <f>IF($A93="","",IF(OR($L93="",$E93=""),"",$L93*$E93))</f>
        <v/>
      </c>
      <c r="N93" s="14">
        <f>IF($A93="","",IF($D93="","",IF($J93&gt;=$D93,"Received",IF($J93&gt;0,"Part received","Open"))))</f>
        <v/>
      </c>
      <c r="O93" s="13">
        <f>IF($A93="","",IF($L93="","",IF($L93&lt;=0,"",IF($I93="","",MAX(0,TODAY()-$I93)))))</f>
        <v/>
      </c>
      <c r="P93" s="13">
        <f>IF($A93="","",IFERROR(RIGHT($A93,4)*1,""))</f>
        <v/>
      </c>
      <c r="Q93" s="13">
        <f>IF($A93="","",COUNTIFS($A$5:$A93,$A93))</f>
        <v/>
      </c>
      <c r="R93" s="14">
        <f>IF($A93="","",$A93&amp;"|"&amp;$Q93)</f>
        <v/>
      </c>
      <c r="S93" s="13">
        <f>IF($A93="","",IF($Q93=1,MAX($S$4:$S92)+1,""))</f>
        <v/>
      </c>
      <c r="T93" s="13">
        <f>IF($S93="","",IF(SUMIFS($L$5:$L$204,$A$5:$A$204,$A93)&gt;0,1,0))</f>
        <v/>
      </c>
    </row>
    <row r="94">
      <c r="A94" s="7" t="n"/>
      <c r="B94" s="7" t="n"/>
      <c r="C94" s="7" t="n"/>
      <c r="D94" s="8" t="n"/>
      <c r="E94" s="9" t="n"/>
      <c r="F94" s="10">
        <f>IF($A94="","",IF(OR($D94="",$E94=""),"",$D94*$E94))</f>
        <v/>
      </c>
      <c r="G94" s="7" t="n"/>
      <c r="H94" s="11" t="n"/>
      <c r="I94" s="12">
        <f>IF($A94="","",IF($H94="","",$H94+IFERROR(VLOOKUP($B94,Suppliers!$A$5:$I$54,7,FALSE),0)))</f>
        <v/>
      </c>
      <c r="J94" s="8" t="n"/>
      <c r="K94" s="11" t="n"/>
      <c r="L94" s="13">
        <f>IF($A94="","",IF($D94="","",$D94-$J94))</f>
        <v/>
      </c>
      <c r="M94" s="10">
        <f>IF($A94="","",IF(OR($L94="",$E94=""),"",$L94*$E94))</f>
        <v/>
      </c>
      <c r="N94" s="14">
        <f>IF($A94="","",IF($D94="","",IF($J94&gt;=$D94,"Received",IF($J94&gt;0,"Part received","Open"))))</f>
        <v/>
      </c>
      <c r="O94" s="13">
        <f>IF($A94="","",IF($L94="","",IF($L94&lt;=0,"",IF($I94="","",MAX(0,TODAY()-$I94)))))</f>
        <v/>
      </c>
      <c r="P94" s="13">
        <f>IF($A94="","",IFERROR(RIGHT($A94,4)*1,""))</f>
        <v/>
      </c>
      <c r="Q94" s="13">
        <f>IF($A94="","",COUNTIFS($A$5:$A94,$A94))</f>
        <v/>
      </c>
      <c r="R94" s="14">
        <f>IF($A94="","",$A94&amp;"|"&amp;$Q94)</f>
        <v/>
      </c>
      <c r="S94" s="13">
        <f>IF($A94="","",IF($Q94=1,MAX($S$4:$S93)+1,""))</f>
        <v/>
      </c>
      <c r="T94" s="13">
        <f>IF($S94="","",IF(SUMIFS($L$5:$L$204,$A$5:$A$204,$A94)&gt;0,1,0))</f>
        <v/>
      </c>
    </row>
    <row r="95">
      <c r="A95" s="7" t="n"/>
      <c r="B95" s="7" t="n"/>
      <c r="C95" s="7" t="n"/>
      <c r="D95" s="8" t="n"/>
      <c r="E95" s="9" t="n"/>
      <c r="F95" s="10">
        <f>IF($A95="","",IF(OR($D95="",$E95=""),"",$D95*$E95))</f>
        <v/>
      </c>
      <c r="G95" s="7" t="n"/>
      <c r="H95" s="11" t="n"/>
      <c r="I95" s="12">
        <f>IF($A95="","",IF($H95="","",$H95+IFERROR(VLOOKUP($B95,Suppliers!$A$5:$I$54,7,FALSE),0)))</f>
        <v/>
      </c>
      <c r="J95" s="8" t="n"/>
      <c r="K95" s="11" t="n"/>
      <c r="L95" s="13">
        <f>IF($A95="","",IF($D95="","",$D95-$J95))</f>
        <v/>
      </c>
      <c r="M95" s="10">
        <f>IF($A95="","",IF(OR($L95="",$E95=""),"",$L95*$E95))</f>
        <v/>
      </c>
      <c r="N95" s="14">
        <f>IF($A95="","",IF($D95="","",IF($J95&gt;=$D95,"Received",IF($J95&gt;0,"Part received","Open"))))</f>
        <v/>
      </c>
      <c r="O95" s="13">
        <f>IF($A95="","",IF($L95="","",IF($L95&lt;=0,"",IF($I95="","",MAX(0,TODAY()-$I95)))))</f>
        <v/>
      </c>
      <c r="P95" s="13">
        <f>IF($A95="","",IFERROR(RIGHT($A95,4)*1,""))</f>
        <v/>
      </c>
      <c r="Q95" s="13">
        <f>IF($A95="","",COUNTIFS($A$5:$A95,$A95))</f>
        <v/>
      </c>
      <c r="R95" s="14">
        <f>IF($A95="","",$A95&amp;"|"&amp;$Q95)</f>
        <v/>
      </c>
      <c r="S95" s="13">
        <f>IF($A95="","",IF($Q95=1,MAX($S$4:$S94)+1,""))</f>
        <v/>
      </c>
      <c r="T95" s="13">
        <f>IF($S95="","",IF(SUMIFS($L$5:$L$204,$A$5:$A$204,$A95)&gt;0,1,0))</f>
        <v/>
      </c>
    </row>
    <row r="96">
      <c r="A96" s="7" t="n"/>
      <c r="B96" s="7" t="n"/>
      <c r="C96" s="7" t="n"/>
      <c r="D96" s="8" t="n"/>
      <c r="E96" s="9" t="n"/>
      <c r="F96" s="10">
        <f>IF($A96="","",IF(OR($D96="",$E96=""),"",$D96*$E96))</f>
        <v/>
      </c>
      <c r="G96" s="7" t="n"/>
      <c r="H96" s="11" t="n"/>
      <c r="I96" s="12">
        <f>IF($A96="","",IF($H96="","",$H96+IFERROR(VLOOKUP($B96,Suppliers!$A$5:$I$54,7,FALSE),0)))</f>
        <v/>
      </c>
      <c r="J96" s="8" t="n"/>
      <c r="K96" s="11" t="n"/>
      <c r="L96" s="13">
        <f>IF($A96="","",IF($D96="","",$D96-$J96))</f>
        <v/>
      </c>
      <c r="M96" s="10">
        <f>IF($A96="","",IF(OR($L96="",$E96=""),"",$L96*$E96))</f>
        <v/>
      </c>
      <c r="N96" s="14">
        <f>IF($A96="","",IF($D96="","",IF($J96&gt;=$D96,"Received",IF($J96&gt;0,"Part received","Open"))))</f>
        <v/>
      </c>
      <c r="O96" s="13">
        <f>IF($A96="","",IF($L96="","",IF($L96&lt;=0,"",IF($I96="","",MAX(0,TODAY()-$I96)))))</f>
        <v/>
      </c>
      <c r="P96" s="13">
        <f>IF($A96="","",IFERROR(RIGHT($A96,4)*1,""))</f>
        <v/>
      </c>
      <c r="Q96" s="13">
        <f>IF($A96="","",COUNTIFS($A$5:$A96,$A96))</f>
        <v/>
      </c>
      <c r="R96" s="14">
        <f>IF($A96="","",$A96&amp;"|"&amp;$Q96)</f>
        <v/>
      </c>
      <c r="S96" s="13">
        <f>IF($A96="","",IF($Q96=1,MAX($S$4:$S95)+1,""))</f>
        <v/>
      </c>
      <c r="T96" s="13">
        <f>IF($S96="","",IF(SUMIFS($L$5:$L$204,$A$5:$A$204,$A96)&gt;0,1,0))</f>
        <v/>
      </c>
    </row>
    <row r="97">
      <c r="A97" s="7" t="n"/>
      <c r="B97" s="7" t="n"/>
      <c r="C97" s="7" t="n"/>
      <c r="D97" s="8" t="n"/>
      <c r="E97" s="9" t="n"/>
      <c r="F97" s="10">
        <f>IF($A97="","",IF(OR($D97="",$E97=""),"",$D97*$E97))</f>
        <v/>
      </c>
      <c r="G97" s="7" t="n"/>
      <c r="H97" s="11" t="n"/>
      <c r="I97" s="12">
        <f>IF($A97="","",IF($H97="","",$H97+IFERROR(VLOOKUP($B97,Suppliers!$A$5:$I$54,7,FALSE),0)))</f>
        <v/>
      </c>
      <c r="J97" s="8" t="n"/>
      <c r="K97" s="11" t="n"/>
      <c r="L97" s="13">
        <f>IF($A97="","",IF($D97="","",$D97-$J97))</f>
        <v/>
      </c>
      <c r="M97" s="10">
        <f>IF($A97="","",IF(OR($L97="",$E97=""),"",$L97*$E97))</f>
        <v/>
      </c>
      <c r="N97" s="14">
        <f>IF($A97="","",IF($D97="","",IF($J97&gt;=$D97,"Received",IF($J97&gt;0,"Part received","Open"))))</f>
        <v/>
      </c>
      <c r="O97" s="13">
        <f>IF($A97="","",IF($L97="","",IF($L97&lt;=0,"",IF($I97="","",MAX(0,TODAY()-$I97)))))</f>
        <v/>
      </c>
      <c r="P97" s="13">
        <f>IF($A97="","",IFERROR(RIGHT($A97,4)*1,""))</f>
        <v/>
      </c>
      <c r="Q97" s="13">
        <f>IF($A97="","",COUNTIFS($A$5:$A97,$A97))</f>
        <v/>
      </c>
      <c r="R97" s="14">
        <f>IF($A97="","",$A97&amp;"|"&amp;$Q97)</f>
        <v/>
      </c>
      <c r="S97" s="13">
        <f>IF($A97="","",IF($Q97=1,MAX($S$4:$S96)+1,""))</f>
        <v/>
      </c>
      <c r="T97" s="13">
        <f>IF($S97="","",IF(SUMIFS($L$5:$L$204,$A$5:$A$204,$A97)&gt;0,1,0))</f>
        <v/>
      </c>
    </row>
    <row r="98">
      <c r="A98" s="7" t="n"/>
      <c r="B98" s="7" t="n"/>
      <c r="C98" s="7" t="n"/>
      <c r="D98" s="8" t="n"/>
      <c r="E98" s="9" t="n"/>
      <c r="F98" s="10">
        <f>IF($A98="","",IF(OR($D98="",$E98=""),"",$D98*$E98))</f>
        <v/>
      </c>
      <c r="G98" s="7" t="n"/>
      <c r="H98" s="11" t="n"/>
      <c r="I98" s="12">
        <f>IF($A98="","",IF($H98="","",$H98+IFERROR(VLOOKUP($B98,Suppliers!$A$5:$I$54,7,FALSE),0)))</f>
        <v/>
      </c>
      <c r="J98" s="8" t="n"/>
      <c r="K98" s="11" t="n"/>
      <c r="L98" s="13">
        <f>IF($A98="","",IF($D98="","",$D98-$J98))</f>
        <v/>
      </c>
      <c r="M98" s="10">
        <f>IF($A98="","",IF(OR($L98="",$E98=""),"",$L98*$E98))</f>
        <v/>
      </c>
      <c r="N98" s="14">
        <f>IF($A98="","",IF($D98="","",IF($J98&gt;=$D98,"Received",IF($J98&gt;0,"Part received","Open"))))</f>
        <v/>
      </c>
      <c r="O98" s="13">
        <f>IF($A98="","",IF($L98="","",IF($L98&lt;=0,"",IF($I98="","",MAX(0,TODAY()-$I98)))))</f>
        <v/>
      </c>
      <c r="P98" s="13">
        <f>IF($A98="","",IFERROR(RIGHT($A98,4)*1,""))</f>
        <v/>
      </c>
      <c r="Q98" s="13">
        <f>IF($A98="","",COUNTIFS($A$5:$A98,$A98))</f>
        <v/>
      </c>
      <c r="R98" s="14">
        <f>IF($A98="","",$A98&amp;"|"&amp;$Q98)</f>
        <v/>
      </c>
      <c r="S98" s="13">
        <f>IF($A98="","",IF($Q98=1,MAX($S$4:$S97)+1,""))</f>
        <v/>
      </c>
      <c r="T98" s="13">
        <f>IF($S98="","",IF(SUMIFS($L$5:$L$204,$A$5:$A$204,$A98)&gt;0,1,0))</f>
        <v/>
      </c>
    </row>
    <row r="99">
      <c r="A99" s="7" t="n"/>
      <c r="B99" s="7" t="n"/>
      <c r="C99" s="7" t="n"/>
      <c r="D99" s="8" t="n"/>
      <c r="E99" s="9" t="n"/>
      <c r="F99" s="10">
        <f>IF($A99="","",IF(OR($D99="",$E99=""),"",$D99*$E99))</f>
        <v/>
      </c>
      <c r="G99" s="7" t="n"/>
      <c r="H99" s="11" t="n"/>
      <c r="I99" s="12">
        <f>IF($A99="","",IF($H99="","",$H99+IFERROR(VLOOKUP($B99,Suppliers!$A$5:$I$54,7,FALSE),0)))</f>
        <v/>
      </c>
      <c r="J99" s="8" t="n"/>
      <c r="K99" s="11" t="n"/>
      <c r="L99" s="13">
        <f>IF($A99="","",IF($D99="","",$D99-$J99))</f>
        <v/>
      </c>
      <c r="M99" s="10">
        <f>IF($A99="","",IF(OR($L99="",$E99=""),"",$L99*$E99))</f>
        <v/>
      </c>
      <c r="N99" s="14">
        <f>IF($A99="","",IF($D99="","",IF($J99&gt;=$D99,"Received",IF($J99&gt;0,"Part received","Open"))))</f>
        <v/>
      </c>
      <c r="O99" s="13">
        <f>IF($A99="","",IF($L99="","",IF($L99&lt;=0,"",IF($I99="","",MAX(0,TODAY()-$I99)))))</f>
        <v/>
      </c>
      <c r="P99" s="13">
        <f>IF($A99="","",IFERROR(RIGHT($A99,4)*1,""))</f>
        <v/>
      </c>
      <c r="Q99" s="13">
        <f>IF($A99="","",COUNTIFS($A$5:$A99,$A99))</f>
        <v/>
      </c>
      <c r="R99" s="14">
        <f>IF($A99="","",$A99&amp;"|"&amp;$Q99)</f>
        <v/>
      </c>
      <c r="S99" s="13">
        <f>IF($A99="","",IF($Q99=1,MAX($S$4:$S98)+1,""))</f>
        <v/>
      </c>
      <c r="T99" s="13">
        <f>IF($S99="","",IF(SUMIFS($L$5:$L$204,$A$5:$A$204,$A99)&gt;0,1,0))</f>
        <v/>
      </c>
    </row>
    <row r="100">
      <c r="A100" s="7" t="n"/>
      <c r="B100" s="7" t="n"/>
      <c r="C100" s="7" t="n"/>
      <c r="D100" s="8" t="n"/>
      <c r="E100" s="9" t="n"/>
      <c r="F100" s="10">
        <f>IF($A100="","",IF(OR($D100="",$E100=""),"",$D100*$E100))</f>
        <v/>
      </c>
      <c r="G100" s="7" t="n"/>
      <c r="H100" s="11" t="n"/>
      <c r="I100" s="12">
        <f>IF($A100="","",IF($H100="","",$H100+IFERROR(VLOOKUP($B100,Suppliers!$A$5:$I$54,7,FALSE),0)))</f>
        <v/>
      </c>
      <c r="J100" s="8" t="n"/>
      <c r="K100" s="11" t="n"/>
      <c r="L100" s="13">
        <f>IF($A100="","",IF($D100="","",$D100-$J100))</f>
        <v/>
      </c>
      <c r="M100" s="10">
        <f>IF($A100="","",IF(OR($L100="",$E100=""),"",$L100*$E100))</f>
        <v/>
      </c>
      <c r="N100" s="14">
        <f>IF($A100="","",IF($D100="","",IF($J100&gt;=$D100,"Received",IF($J100&gt;0,"Part received","Open"))))</f>
        <v/>
      </c>
      <c r="O100" s="13">
        <f>IF($A100="","",IF($L100="","",IF($L100&lt;=0,"",IF($I100="","",MAX(0,TODAY()-$I100)))))</f>
        <v/>
      </c>
      <c r="P100" s="13">
        <f>IF($A100="","",IFERROR(RIGHT($A100,4)*1,""))</f>
        <v/>
      </c>
      <c r="Q100" s="13">
        <f>IF($A100="","",COUNTIFS($A$5:$A100,$A100))</f>
        <v/>
      </c>
      <c r="R100" s="14">
        <f>IF($A100="","",$A100&amp;"|"&amp;$Q100)</f>
        <v/>
      </c>
      <c r="S100" s="13">
        <f>IF($A100="","",IF($Q100=1,MAX($S$4:$S99)+1,""))</f>
        <v/>
      </c>
      <c r="T100" s="13">
        <f>IF($S100="","",IF(SUMIFS($L$5:$L$204,$A$5:$A$204,$A100)&gt;0,1,0))</f>
        <v/>
      </c>
    </row>
    <row r="101">
      <c r="A101" s="7" t="n"/>
      <c r="B101" s="7" t="n"/>
      <c r="C101" s="7" t="n"/>
      <c r="D101" s="8" t="n"/>
      <c r="E101" s="9" t="n"/>
      <c r="F101" s="10">
        <f>IF($A101="","",IF(OR($D101="",$E101=""),"",$D101*$E101))</f>
        <v/>
      </c>
      <c r="G101" s="7" t="n"/>
      <c r="H101" s="11" t="n"/>
      <c r="I101" s="12">
        <f>IF($A101="","",IF($H101="","",$H101+IFERROR(VLOOKUP($B101,Suppliers!$A$5:$I$54,7,FALSE),0)))</f>
        <v/>
      </c>
      <c r="J101" s="8" t="n"/>
      <c r="K101" s="11" t="n"/>
      <c r="L101" s="13">
        <f>IF($A101="","",IF($D101="","",$D101-$J101))</f>
        <v/>
      </c>
      <c r="M101" s="10">
        <f>IF($A101="","",IF(OR($L101="",$E101=""),"",$L101*$E101))</f>
        <v/>
      </c>
      <c r="N101" s="14">
        <f>IF($A101="","",IF($D101="","",IF($J101&gt;=$D101,"Received",IF($J101&gt;0,"Part received","Open"))))</f>
        <v/>
      </c>
      <c r="O101" s="13">
        <f>IF($A101="","",IF($L101="","",IF($L101&lt;=0,"",IF($I101="","",MAX(0,TODAY()-$I101)))))</f>
        <v/>
      </c>
      <c r="P101" s="13">
        <f>IF($A101="","",IFERROR(RIGHT($A101,4)*1,""))</f>
        <v/>
      </c>
      <c r="Q101" s="13">
        <f>IF($A101="","",COUNTIFS($A$5:$A101,$A101))</f>
        <v/>
      </c>
      <c r="R101" s="14">
        <f>IF($A101="","",$A101&amp;"|"&amp;$Q101)</f>
        <v/>
      </c>
      <c r="S101" s="13">
        <f>IF($A101="","",IF($Q101=1,MAX($S$4:$S100)+1,""))</f>
        <v/>
      </c>
      <c r="T101" s="13">
        <f>IF($S101="","",IF(SUMIFS($L$5:$L$204,$A$5:$A$204,$A101)&gt;0,1,0))</f>
        <v/>
      </c>
    </row>
    <row r="102">
      <c r="A102" s="7" t="n"/>
      <c r="B102" s="7" t="n"/>
      <c r="C102" s="7" t="n"/>
      <c r="D102" s="8" t="n"/>
      <c r="E102" s="9" t="n"/>
      <c r="F102" s="10">
        <f>IF($A102="","",IF(OR($D102="",$E102=""),"",$D102*$E102))</f>
        <v/>
      </c>
      <c r="G102" s="7" t="n"/>
      <c r="H102" s="11" t="n"/>
      <c r="I102" s="12">
        <f>IF($A102="","",IF($H102="","",$H102+IFERROR(VLOOKUP($B102,Suppliers!$A$5:$I$54,7,FALSE),0)))</f>
        <v/>
      </c>
      <c r="J102" s="8" t="n"/>
      <c r="K102" s="11" t="n"/>
      <c r="L102" s="13">
        <f>IF($A102="","",IF($D102="","",$D102-$J102))</f>
        <v/>
      </c>
      <c r="M102" s="10">
        <f>IF($A102="","",IF(OR($L102="",$E102=""),"",$L102*$E102))</f>
        <v/>
      </c>
      <c r="N102" s="14">
        <f>IF($A102="","",IF($D102="","",IF($J102&gt;=$D102,"Received",IF($J102&gt;0,"Part received","Open"))))</f>
        <v/>
      </c>
      <c r="O102" s="13">
        <f>IF($A102="","",IF($L102="","",IF($L102&lt;=0,"",IF($I102="","",MAX(0,TODAY()-$I102)))))</f>
        <v/>
      </c>
      <c r="P102" s="13">
        <f>IF($A102="","",IFERROR(RIGHT($A102,4)*1,""))</f>
        <v/>
      </c>
      <c r="Q102" s="13">
        <f>IF($A102="","",COUNTIFS($A$5:$A102,$A102))</f>
        <v/>
      </c>
      <c r="R102" s="14">
        <f>IF($A102="","",$A102&amp;"|"&amp;$Q102)</f>
        <v/>
      </c>
      <c r="S102" s="13">
        <f>IF($A102="","",IF($Q102=1,MAX($S$4:$S101)+1,""))</f>
        <v/>
      </c>
      <c r="T102" s="13">
        <f>IF($S102="","",IF(SUMIFS($L$5:$L$204,$A$5:$A$204,$A102)&gt;0,1,0))</f>
        <v/>
      </c>
    </row>
    <row r="103">
      <c r="A103" s="7" t="n"/>
      <c r="B103" s="7" t="n"/>
      <c r="C103" s="7" t="n"/>
      <c r="D103" s="8" t="n"/>
      <c r="E103" s="9" t="n"/>
      <c r="F103" s="10">
        <f>IF($A103="","",IF(OR($D103="",$E103=""),"",$D103*$E103))</f>
        <v/>
      </c>
      <c r="G103" s="7" t="n"/>
      <c r="H103" s="11" t="n"/>
      <c r="I103" s="12">
        <f>IF($A103="","",IF($H103="","",$H103+IFERROR(VLOOKUP($B103,Suppliers!$A$5:$I$54,7,FALSE),0)))</f>
        <v/>
      </c>
      <c r="J103" s="8" t="n"/>
      <c r="K103" s="11" t="n"/>
      <c r="L103" s="13">
        <f>IF($A103="","",IF($D103="","",$D103-$J103))</f>
        <v/>
      </c>
      <c r="M103" s="10">
        <f>IF($A103="","",IF(OR($L103="",$E103=""),"",$L103*$E103))</f>
        <v/>
      </c>
      <c r="N103" s="14">
        <f>IF($A103="","",IF($D103="","",IF($J103&gt;=$D103,"Received",IF($J103&gt;0,"Part received","Open"))))</f>
        <v/>
      </c>
      <c r="O103" s="13">
        <f>IF($A103="","",IF($L103="","",IF($L103&lt;=0,"",IF($I103="","",MAX(0,TODAY()-$I103)))))</f>
        <v/>
      </c>
      <c r="P103" s="13">
        <f>IF($A103="","",IFERROR(RIGHT($A103,4)*1,""))</f>
        <v/>
      </c>
      <c r="Q103" s="13">
        <f>IF($A103="","",COUNTIFS($A$5:$A103,$A103))</f>
        <v/>
      </c>
      <c r="R103" s="14">
        <f>IF($A103="","",$A103&amp;"|"&amp;$Q103)</f>
        <v/>
      </c>
      <c r="S103" s="13">
        <f>IF($A103="","",IF($Q103=1,MAX($S$4:$S102)+1,""))</f>
        <v/>
      </c>
      <c r="T103" s="13">
        <f>IF($S103="","",IF(SUMIFS($L$5:$L$204,$A$5:$A$204,$A103)&gt;0,1,0))</f>
        <v/>
      </c>
    </row>
    <row r="104">
      <c r="A104" s="7" t="n"/>
      <c r="B104" s="7" t="n"/>
      <c r="C104" s="7" t="n"/>
      <c r="D104" s="8" t="n"/>
      <c r="E104" s="9" t="n"/>
      <c r="F104" s="10">
        <f>IF($A104="","",IF(OR($D104="",$E104=""),"",$D104*$E104))</f>
        <v/>
      </c>
      <c r="G104" s="7" t="n"/>
      <c r="H104" s="11" t="n"/>
      <c r="I104" s="12">
        <f>IF($A104="","",IF($H104="","",$H104+IFERROR(VLOOKUP($B104,Suppliers!$A$5:$I$54,7,FALSE),0)))</f>
        <v/>
      </c>
      <c r="J104" s="8" t="n"/>
      <c r="K104" s="11" t="n"/>
      <c r="L104" s="13">
        <f>IF($A104="","",IF($D104="","",$D104-$J104))</f>
        <v/>
      </c>
      <c r="M104" s="10">
        <f>IF($A104="","",IF(OR($L104="",$E104=""),"",$L104*$E104))</f>
        <v/>
      </c>
      <c r="N104" s="14">
        <f>IF($A104="","",IF($D104="","",IF($J104&gt;=$D104,"Received",IF($J104&gt;0,"Part received","Open"))))</f>
        <v/>
      </c>
      <c r="O104" s="13">
        <f>IF($A104="","",IF($L104="","",IF($L104&lt;=0,"",IF($I104="","",MAX(0,TODAY()-$I104)))))</f>
        <v/>
      </c>
      <c r="P104" s="13">
        <f>IF($A104="","",IFERROR(RIGHT($A104,4)*1,""))</f>
        <v/>
      </c>
      <c r="Q104" s="13">
        <f>IF($A104="","",COUNTIFS($A$5:$A104,$A104))</f>
        <v/>
      </c>
      <c r="R104" s="14">
        <f>IF($A104="","",$A104&amp;"|"&amp;$Q104)</f>
        <v/>
      </c>
      <c r="S104" s="13">
        <f>IF($A104="","",IF($Q104=1,MAX($S$4:$S103)+1,""))</f>
        <v/>
      </c>
      <c r="T104" s="13">
        <f>IF($S104="","",IF(SUMIFS($L$5:$L$204,$A$5:$A$204,$A104)&gt;0,1,0))</f>
        <v/>
      </c>
    </row>
    <row r="105">
      <c r="A105" s="7" t="n"/>
      <c r="B105" s="7" t="n"/>
      <c r="C105" s="7" t="n"/>
      <c r="D105" s="8" t="n"/>
      <c r="E105" s="9" t="n"/>
      <c r="F105" s="10">
        <f>IF($A105="","",IF(OR($D105="",$E105=""),"",$D105*$E105))</f>
        <v/>
      </c>
      <c r="G105" s="7" t="n"/>
      <c r="H105" s="11" t="n"/>
      <c r="I105" s="12">
        <f>IF($A105="","",IF($H105="","",$H105+IFERROR(VLOOKUP($B105,Suppliers!$A$5:$I$54,7,FALSE),0)))</f>
        <v/>
      </c>
      <c r="J105" s="8" t="n"/>
      <c r="K105" s="11" t="n"/>
      <c r="L105" s="13">
        <f>IF($A105="","",IF($D105="","",$D105-$J105))</f>
        <v/>
      </c>
      <c r="M105" s="10">
        <f>IF($A105="","",IF(OR($L105="",$E105=""),"",$L105*$E105))</f>
        <v/>
      </c>
      <c r="N105" s="14">
        <f>IF($A105="","",IF($D105="","",IF($J105&gt;=$D105,"Received",IF($J105&gt;0,"Part received","Open"))))</f>
        <v/>
      </c>
      <c r="O105" s="13">
        <f>IF($A105="","",IF($L105="","",IF($L105&lt;=0,"",IF($I105="","",MAX(0,TODAY()-$I105)))))</f>
        <v/>
      </c>
      <c r="P105" s="13">
        <f>IF($A105="","",IFERROR(RIGHT($A105,4)*1,""))</f>
        <v/>
      </c>
      <c r="Q105" s="13">
        <f>IF($A105="","",COUNTIFS($A$5:$A105,$A105))</f>
        <v/>
      </c>
      <c r="R105" s="14">
        <f>IF($A105="","",$A105&amp;"|"&amp;$Q105)</f>
        <v/>
      </c>
      <c r="S105" s="13">
        <f>IF($A105="","",IF($Q105=1,MAX($S$4:$S104)+1,""))</f>
        <v/>
      </c>
      <c r="T105" s="13">
        <f>IF($S105="","",IF(SUMIFS($L$5:$L$204,$A$5:$A$204,$A105)&gt;0,1,0))</f>
        <v/>
      </c>
    </row>
    <row r="106">
      <c r="A106" s="7" t="n"/>
      <c r="B106" s="7" t="n"/>
      <c r="C106" s="7" t="n"/>
      <c r="D106" s="8" t="n"/>
      <c r="E106" s="9" t="n"/>
      <c r="F106" s="10">
        <f>IF($A106="","",IF(OR($D106="",$E106=""),"",$D106*$E106))</f>
        <v/>
      </c>
      <c r="G106" s="7" t="n"/>
      <c r="H106" s="11" t="n"/>
      <c r="I106" s="12">
        <f>IF($A106="","",IF($H106="","",$H106+IFERROR(VLOOKUP($B106,Suppliers!$A$5:$I$54,7,FALSE),0)))</f>
        <v/>
      </c>
      <c r="J106" s="8" t="n"/>
      <c r="K106" s="11" t="n"/>
      <c r="L106" s="13">
        <f>IF($A106="","",IF($D106="","",$D106-$J106))</f>
        <v/>
      </c>
      <c r="M106" s="10">
        <f>IF($A106="","",IF(OR($L106="",$E106=""),"",$L106*$E106))</f>
        <v/>
      </c>
      <c r="N106" s="14">
        <f>IF($A106="","",IF($D106="","",IF($J106&gt;=$D106,"Received",IF($J106&gt;0,"Part received","Open"))))</f>
        <v/>
      </c>
      <c r="O106" s="13">
        <f>IF($A106="","",IF($L106="","",IF($L106&lt;=0,"",IF($I106="","",MAX(0,TODAY()-$I106)))))</f>
        <v/>
      </c>
      <c r="P106" s="13">
        <f>IF($A106="","",IFERROR(RIGHT($A106,4)*1,""))</f>
        <v/>
      </c>
      <c r="Q106" s="13">
        <f>IF($A106="","",COUNTIFS($A$5:$A106,$A106))</f>
        <v/>
      </c>
      <c r="R106" s="14">
        <f>IF($A106="","",$A106&amp;"|"&amp;$Q106)</f>
        <v/>
      </c>
      <c r="S106" s="13">
        <f>IF($A106="","",IF($Q106=1,MAX($S$4:$S105)+1,""))</f>
        <v/>
      </c>
      <c r="T106" s="13">
        <f>IF($S106="","",IF(SUMIFS($L$5:$L$204,$A$5:$A$204,$A106)&gt;0,1,0))</f>
        <v/>
      </c>
    </row>
    <row r="107">
      <c r="A107" s="7" t="n"/>
      <c r="B107" s="7" t="n"/>
      <c r="C107" s="7" t="n"/>
      <c r="D107" s="8" t="n"/>
      <c r="E107" s="9" t="n"/>
      <c r="F107" s="10">
        <f>IF($A107="","",IF(OR($D107="",$E107=""),"",$D107*$E107))</f>
        <v/>
      </c>
      <c r="G107" s="7" t="n"/>
      <c r="H107" s="11" t="n"/>
      <c r="I107" s="12">
        <f>IF($A107="","",IF($H107="","",$H107+IFERROR(VLOOKUP($B107,Suppliers!$A$5:$I$54,7,FALSE),0)))</f>
        <v/>
      </c>
      <c r="J107" s="8" t="n"/>
      <c r="K107" s="11" t="n"/>
      <c r="L107" s="13">
        <f>IF($A107="","",IF($D107="","",$D107-$J107))</f>
        <v/>
      </c>
      <c r="M107" s="10">
        <f>IF($A107="","",IF(OR($L107="",$E107=""),"",$L107*$E107))</f>
        <v/>
      </c>
      <c r="N107" s="14">
        <f>IF($A107="","",IF($D107="","",IF($J107&gt;=$D107,"Received",IF($J107&gt;0,"Part received","Open"))))</f>
        <v/>
      </c>
      <c r="O107" s="13">
        <f>IF($A107="","",IF($L107="","",IF($L107&lt;=0,"",IF($I107="","",MAX(0,TODAY()-$I107)))))</f>
        <v/>
      </c>
      <c r="P107" s="13">
        <f>IF($A107="","",IFERROR(RIGHT($A107,4)*1,""))</f>
        <v/>
      </c>
      <c r="Q107" s="13">
        <f>IF($A107="","",COUNTIFS($A$5:$A107,$A107))</f>
        <v/>
      </c>
      <c r="R107" s="14">
        <f>IF($A107="","",$A107&amp;"|"&amp;$Q107)</f>
        <v/>
      </c>
      <c r="S107" s="13">
        <f>IF($A107="","",IF($Q107=1,MAX($S$4:$S106)+1,""))</f>
        <v/>
      </c>
      <c r="T107" s="13">
        <f>IF($S107="","",IF(SUMIFS($L$5:$L$204,$A$5:$A$204,$A107)&gt;0,1,0))</f>
        <v/>
      </c>
    </row>
    <row r="108">
      <c r="A108" s="7" t="n"/>
      <c r="B108" s="7" t="n"/>
      <c r="C108" s="7" t="n"/>
      <c r="D108" s="8" t="n"/>
      <c r="E108" s="9" t="n"/>
      <c r="F108" s="10">
        <f>IF($A108="","",IF(OR($D108="",$E108=""),"",$D108*$E108))</f>
        <v/>
      </c>
      <c r="G108" s="7" t="n"/>
      <c r="H108" s="11" t="n"/>
      <c r="I108" s="12">
        <f>IF($A108="","",IF($H108="","",$H108+IFERROR(VLOOKUP($B108,Suppliers!$A$5:$I$54,7,FALSE),0)))</f>
        <v/>
      </c>
      <c r="J108" s="8" t="n"/>
      <c r="K108" s="11" t="n"/>
      <c r="L108" s="13">
        <f>IF($A108="","",IF($D108="","",$D108-$J108))</f>
        <v/>
      </c>
      <c r="M108" s="10">
        <f>IF($A108="","",IF(OR($L108="",$E108=""),"",$L108*$E108))</f>
        <v/>
      </c>
      <c r="N108" s="14">
        <f>IF($A108="","",IF($D108="","",IF($J108&gt;=$D108,"Received",IF($J108&gt;0,"Part received","Open"))))</f>
        <v/>
      </c>
      <c r="O108" s="13">
        <f>IF($A108="","",IF($L108="","",IF($L108&lt;=0,"",IF($I108="","",MAX(0,TODAY()-$I108)))))</f>
        <v/>
      </c>
      <c r="P108" s="13">
        <f>IF($A108="","",IFERROR(RIGHT($A108,4)*1,""))</f>
        <v/>
      </c>
      <c r="Q108" s="13">
        <f>IF($A108="","",COUNTIFS($A$5:$A108,$A108))</f>
        <v/>
      </c>
      <c r="R108" s="14">
        <f>IF($A108="","",$A108&amp;"|"&amp;$Q108)</f>
        <v/>
      </c>
      <c r="S108" s="13">
        <f>IF($A108="","",IF($Q108=1,MAX($S$4:$S107)+1,""))</f>
        <v/>
      </c>
      <c r="T108" s="13">
        <f>IF($S108="","",IF(SUMIFS($L$5:$L$204,$A$5:$A$204,$A108)&gt;0,1,0))</f>
        <v/>
      </c>
    </row>
    <row r="109">
      <c r="A109" s="7" t="n"/>
      <c r="B109" s="7" t="n"/>
      <c r="C109" s="7" t="n"/>
      <c r="D109" s="8" t="n"/>
      <c r="E109" s="9" t="n"/>
      <c r="F109" s="10">
        <f>IF($A109="","",IF(OR($D109="",$E109=""),"",$D109*$E109))</f>
        <v/>
      </c>
      <c r="G109" s="7" t="n"/>
      <c r="H109" s="11" t="n"/>
      <c r="I109" s="12">
        <f>IF($A109="","",IF($H109="","",$H109+IFERROR(VLOOKUP($B109,Suppliers!$A$5:$I$54,7,FALSE),0)))</f>
        <v/>
      </c>
      <c r="J109" s="8" t="n"/>
      <c r="K109" s="11" t="n"/>
      <c r="L109" s="13">
        <f>IF($A109="","",IF($D109="","",$D109-$J109))</f>
        <v/>
      </c>
      <c r="M109" s="10">
        <f>IF($A109="","",IF(OR($L109="",$E109=""),"",$L109*$E109))</f>
        <v/>
      </c>
      <c r="N109" s="14">
        <f>IF($A109="","",IF($D109="","",IF($J109&gt;=$D109,"Received",IF($J109&gt;0,"Part received","Open"))))</f>
        <v/>
      </c>
      <c r="O109" s="13">
        <f>IF($A109="","",IF($L109="","",IF($L109&lt;=0,"",IF($I109="","",MAX(0,TODAY()-$I109)))))</f>
        <v/>
      </c>
      <c r="P109" s="13">
        <f>IF($A109="","",IFERROR(RIGHT($A109,4)*1,""))</f>
        <v/>
      </c>
      <c r="Q109" s="13">
        <f>IF($A109="","",COUNTIFS($A$5:$A109,$A109))</f>
        <v/>
      </c>
      <c r="R109" s="14">
        <f>IF($A109="","",$A109&amp;"|"&amp;$Q109)</f>
        <v/>
      </c>
      <c r="S109" s="13">
        <f>IF($A109="","",IF($Q109=1,MAX($S$4:$S108)+1,""))</f>
        <v/>
      </c>
      <c r="T109" s="13">
        <f>IF($S109="","",IF(SUMIFS($L$5:$L$204,$A$5:$A$204,$A109)&gt;0,1,0))</f>
        <v/>
      </c>
    </row>
    <row r="110">
      <c r="A110" s="7" t="n"/>
      <c r="B110" s="7" t="n"/>
      <c r="C110" s="7" t="n"/>
      <c r="D110" s="8" t="n"/>
      <c r="E110" s="9" t="n"/>
      <c r="F110" s="10">
        <f>IF($A110="","",IF(OR($D110="",$E110=""),"",$D110*$E110))</f>
        <v/>
      </c>
      <c r="G110" s="7" t="n"/>
      <c r="H110" s="11" t="n"/>
      <c r="I110" s="12">
        <f>IF($A110="","",IF($H110="","",$H110+IFERROR(VLOOKUP($B110,Suppliers!$A$5:$I$54,7,FALSE),0)))</f>
        <v/>
      </c>
      <c r="J110" s="8" t="n"/>
      <c r="K110" s="11" t="n"/>
      <c r="L110" s="13">
        <f>IF($A110="","",IF($D110="","",$D110-$J110))</f>
        <v/>
      </c>
      <c r="M110" s="10">
        <f>IF($A110="","",IF(OR($L110="",$E110=""),"",$L110*$E110))</f>
        <v/>
      </c>
      <c r="N110" s="14">
        <f>IF($A110="","",IF($D110="","",IF($J110&gt;=$D110,"Received",IF($J110&gt;0,"Part received","Open"))))</f>
        <v/>
      </c>
      <c r="O110" s="13">
        <f>IF($A110="","",IF($L110="","",IF($L110&lt;=0,"",IF($I110="","",MAX(0,TODAY()-$I110)))))</f>
        <v/>
      </c>
      <c r="P110" s="13">
        <f>IF($A110="","",IFERROR(RIGHT($A110,4)*1,""))</f>
        <v/>
      </c>
      <c r="Q110" s="13">
        <f>IF($A110="","",COUNTIFS($A$5:$A110,$A110))</f>
        <v/>
      </c>
      <c r="R110" s="14">
        <f>IF($A110="","",$A110&amp;"|"&amp;$Q110)</f>
        <v/>
      </c>
      <c r="S110" s="13">
        <f>IF($A110="","",IF($Q110=1,MAX($S$4:$S109)+1,""))</f>
        <v/>
      </c>
      <c r="T110" s="13">
        <f>IF($S110="","",IF(SUMIFS($L$5:$L$204,$A$5:$A$204,$A110)&gt;0,1,0))</f>
        <v/>
      </c>
    </row>
    <row r="111">
      <c r="A111" s="7" t="n"/>
      <c r="B111" s="7" t="n"/>
      <c r="C111" s="7" t="n"/>
      <c r="D111" s="8" t="n"/>
      <c r="E111" s="9" t="n"/>
      <c r="F111" s="10">
        <f>IF($A111="","",IF(OR($D111="",$E111=""),"",$D111*$E111))</f>
        <v/>
      </c>
      <c r="G111" s="7" t="n"/>
      <c r="H111" s="11" t="n"/>
      <c r="I111" s="12">
        <f>IF($A111="","",IF($H111="","",$H111+IFERROR(VLOOKUP($B111,Suppliers!$A$5:$I$54,7,FALSE),0)))</f>
        <v/>
      </c>
      <c r="J111" s="8" t="n"/>
      <c r="K111" s="11" t="n"/>
      <c r="L111" s="13">
        <f>IF($A111="","",IF($D111="","",$D111-$J111))</f>
        <v/>
      </c>
      <c r="M111" s="10">
        <f>IF($A111="","",IF(OR($L111="",$E111=""),"",$L111*$E111))</f>
        <v/>
      </c>
      <c r="N111" s="14">
        <f>IF($A111="","",IF($D111="","",IF($J111&gt;=$D111,"Received",IF($J111&gt;0,"Part received","Open"))))</f>
        <v/>
      </c>
      <c r="O111" s="13">
        <f>IF($A111="","",IF($L111="","",IF($L111&lt;=0,"",IF($I111="","",MAX(0,TODAY()-$I111)))))</f>
        <v/>
      </c>
      <c r="P111" s="13">
        <f>IF($A111="","",IFERROR(RIGHT($A111,4)*1,""))</f>
        <v/>
      </c>
      <c r="Q111" s="13">
        <f>IF($A111="","",COUNTIFS($A$5:$A111,$A111))</f>
        <v/>
      </c>
      <c r="R111" s="14">
        <f>IF($A111="","",$A111&amp;"|"&amp;$Q111)</f>
        <v/>
      </c>
      <c r="S111" s="13">
        <f>IF($A111="","",IF($Q111=1,MAX($S$4:$S110)+1,""))</f>
        <v/>
      </c>
      <c r="T111" s="13">
        <f>IF($S111="","",IF(SUMIFS($L$5:$L$204,$A$5:$A$204,$A111)&gt;0,1,0))</f>
        <v/>
      </c>
    </row>
    <row r="112">
      <c r="A112" s="7" t="n"/>
      <c r="B112" s="7" t="n"/>
      <c r="C112" s="7" t="n"/>
      <c r="D112" s="8" t="n"/>
      <c r="E112" s="9" t="n"/>
      <c r="F112" s="10">
        <f>IF($A112="","",IF(OR($D112="",$E112=""),"",$D112*$E112))</f>
        <v/>
      </c>
      <c r="G112" s="7" t="n"/>
      <c r="H112" s="11" t="n"/>
      <c r="I112" s="12">
        <f>IF($A112="","",IF($H112="","",$H112+IFERROR(VLOOKUP($B112,Suppliers!$A$5:$I$54,7,FALSE),0)))</f>
        <v/>
      </c>
      <c r="J112" s="8" t="n"/>
      <c r="K112" s="11" t="n"/>
      <c r="L112" s="13">
        <f>IF($A112="","",IF($D112="","",$D112-$J112))</f>
        <v/>
      </c>
      <c r="M112" s="10">
        <f>IF($A112="","",IF(OR($L112="",$E112=""),"",$L112*$E112))</f>
        <v/>
      </c>
      <c r="N112" s="14">
        <f>IF($A112="","",IF($D112="","",IF($J112&gt;=$D112,"Received",IF($J112&gt;0,"Part received","Open"))))</f>
        <v/>
      </c>
      <c r="O112" s="13">
        <f>IF($A112="","",IF($L112="","",IF($L112&lt;=0,"",IF($I112="","",MAX(0,TODAY()-$I112)))))</f>
        <v/>
      </c>
      <c r="P112" s="13">
        <f>IF($A112="","",IFERROR(RIGHT($A112,4)*1,""))</f>
        <v/>
      </c>
      <c r="Q112" s="13">
        <f>IF($A112="","",COUNTIFS($A$5:$A112,$A112))</f>
        <v/>
      </c>
      <c r="R112" s="14">
        <f>IF($A112="","",$A112&amp;"|"&amp;$Q112)</f>
        <v/>
      </c>
      <c r="S112" s="13">
        <f>IF($A112="","",IF($Q112=1,MAX($S$4:$S111)+1,""))</f>
        <v/>
      </c>
      <c r="T112" s="13">
        <f>IF($S112="","",IF(SUMIFS($L$5:$L$204,$A$5:$A$204,$A112)&gt;0,1,0))</f>
        <v/>
      </c>
    </row>
    <row r="113">
      <c r="A113" s="7" t="n"/>
      <c r="B113" s="7" t="n"/>
      <c r="C113" s="7" t="n"/>
      <c r="D113" s="8" t="n"/>
      <c r="E113" s="9" t="n"/>
      <c r="F113" s="10">
        <f>IF($A113="","",IF(OR($D113="",$E113=""),"",$D113*$E113))</f>
        <v/>
      </c>
      <c r="G113" s="7" t="n"/>
      <c r="H113" s="11" t="n"/>
      <c r="I113" s="12">
        <f>IF($A113="","",IF($H113="","",$H113+IFERROR(VLOOKUP($B113,Suppliers!$A$5:$I$54,7,FALSE),0)))</f>
        <v/>
      </c>
      <c r="J113" s="8" t="n"/>
      <c r="K113" s="11" t="n"/>
      <c r="L113" s="13">
        <f>IF($A113="","",IF($D113="","",$D113-$J113))</f>
        <v/>
      </c>
      <c r="M113" s="10">
        <f>IF($A113="","",IF(OR($L113="",$E113=""),"",$L113*$E113))</f>
        <v/>
      </c>
      <c r="N113" s="14">
        <f>IF($A113="","",IF($D113="","",IF($J113&gt;=$D113,"Received",IF($J113&gt;0,"Part received","Open"))))</f>
        <v/>
      </c>
      <c r="O113" s="13">
        <f>IF($A113="","",IF($L113="","",IF($L113&lt;=0,"",IF($I113="","",MAX(0,TODAY()-$I113)))))</f>
        <v/>
      </c>
      <c r="P113" s="13">
        <f>IF($A113="","",IFERROR(RIGHT($A113,4)*1,""))</f>
        <v/>
      </c>
      <c r="Q113" s="13">
        <f>IF($A113="","",COUNTIFS($A$5:$A113,$A113))</f>
        <v/>
      </c>
      <c r="R113" s="14">
        <f>IF($A113="","",$A113&amp;"|"&amp;$Q113)</f>
        <v/>
      </c>
      <c r="S113" s="13">
        <f>IF($A113="","",IF($Q113=1,MAX($S$4:$S112)+1,""))</f>
        <v/>
      </c>
      <c r="T113" s="13">
        <f>IF($S113="","",IF(SUMIFS($L$5:$L$204,$A$5:$A$204,$A113)&gt;0,1,0))</f>
        <v/>
      </c>
    </row>
    <row r="114">
      <c r="A114" s="7" t="n"/>
      <c r="B114" s="7" t="n"/>
      <c r="C114" s="7" t="n"/>
      <c r="D114" s="8" t="n"/>
      <c r="E114" s="9" t="n"/>
      <c r="F114" s="10">
        <f>IF($A114="","",IF(OR($D114="",$E114=""),"",$D114*$E114))</f>
        <v/>
      </c>
      <c r="G114" s="7" t="n"/>
      <c r="H114" s="11" t="n"/>
      <c r="I114" s="12">
        <f>IF($A114="","",IF($H114="","",$H114+IFERROR(VLOOKUP($B114,Suppliers!$A$5:$I$54,7,FALSE),0)))</f>
        <v/>
      </c>
      <c r="J114" s="8" t="n"/>
      <c r="K114" s="11" t="n"/>
      <c r="L114" s="13">
        <f>IF($A114="","",IF($D114="","",$D114-$J114))</f>
        <v/>
      </c>
      <c r="M114" s="10">
        <f>IF($A114="","",IF(OR($L114="",$E114=""),"",$L114*$E114))</f>
        <v/>
      </c>
      <c r="N114" s="14">
        <f>IF($A114="","",IF($D114="","",IF($J114&gt;=$D114,"Received",IF($J114&gt;0,"Part received","Open"))))</f>
        <v/>
      </c>
      <c r="O114" s="13">
        <f>IF($A114="","",IF($L114="","",IF($L114&lt;=0,"",IF($I114="","",MAX(0,TODAY()-$I114)))))</f>
        <v/>
      </c>
      <c r="P114" s="13">
        <f>IF($A114="","",IFERROR(RIGHT($A114,4)*1,""))</f>
        <v/>
      </c>
      <c r="Q114" s="13">
        <f>IF($A114="","",COUNTIFS($A$5:$A114,$A114))</f>
        <v/>
      </c>
      <c r="R114" s="14">
        <f>IF($A114="","",$A114&amp;"|"&amp;$Q114)</f>
        <v/>
      </c>
      <c r="S114" s="13">
        <f>IF($A114="","",IF($Q114=1,MAX($S$4:$S113)+1,""))</f>
        <v/>
      </c>
      <c r="T114" s="13">
        <f>IF($S114="","",IF(SUMIFS($L$5:$L$204,$A$5:$A$204,$A114)&gt;0,1,0))</f>
        <v/>
      </c>
    </row>
    <row r="115">
      <c r="A115" s="7" t="n"/>
      <c r="B115" s="7" t="n"/>
      <c r="C115" s="7" t="n"/>
      <c r="D115" s="8" t="n"/>
      <c r="E115" s="9" t="n"/>
      <c r="F115" s="10">
        <f>IF($A115="","",IF(OR($D115="",$E115=""),"",$D115*$E115))</f>
        <v/>
      </c>
      <c r="G115" s="7" t="n"/>
      <c r="H115" s="11" t="n"/>
      <c r="I115" s="12">
        <f>IF($A115="","",IF($H115="","",$H115+IFERROR(VLOOKUP($B115,Suppliers!$A$5:$I$54,7,FALSE),0)))</f>
        <v/>
      </c>
      <c r="J115" s="8" t="n"/>
      <c r="K115" s="11" t="n"/>
      <c r="L115" s="13">
        <f>IF($A115="","",IF($D115="","",$D115-$J115))</f>
        <v/>
      </c>
      <c r="M115" s="10">
        <f>IF($A115="","",IF(OR($L115="",$E115=""),"",$L115*$E115))</f>
        <v/>
      </c>
      <c r="N115" s="14">
        <f>IF($A115="","",IF($D115="","",IF($J115&gt;=$D115,"Received",IF($J115&gt;0,"Part received","Open"))))</f>
        <v/>
      </c>
      <c r="O115" s="13">
        <f>IF($A115="","",IF($L115="","",IF($L115&lt;=0,"",IF($I115="","",MAX(0,TODAY()-$I115)))))</f>
        <v/>
      </c>
      <c r="P115" s="13">
        <f>IF($A115="","",IFERROR(RIGHT($A115,4)*1,""))</f>
        <v/>
      </c>
      <c r="Q115" s="13">
        <f>IF($A115="","",COUNTIFS($A$5:$A115,$A115))</f>
        <v/>
      </c>
      <c r="R115" s="14">
        <f>IF($A115="","",$A115&amp;"|"&amp;$Q115)</f>
        <v/>
      </c>
      <c r="S115" s="13">
        <f>IF($A115="","",IF($Q115=1,MAX($S$4:$S114)+1,""))</f>
        <v/>
      </c>
      <c r="T115" s="13">
        <f>IF($S115="","",IF(SUMIFS($L$5:$L$204,$A$5:$A$204,$A115)&gt;0,1,0))</f>
        <v/>
      </c>
    </row>
    <row r="116">
      <c r="A116" s="7" t="n"/>
      <c r="B116" s="7" t="n"/>
      <c r="C116" s="7" t="n"/>
      <c r="D116" s="8" t="n"/>
      <c r="E116" s="9" t="n"/>
      <c r="F116" s="10">
        <f>IF($A116="","",IF(OR($D116="",$E116=""),"",$D116*$E116))</f>
        <v/>
      </c>
      <c r="G116" s="7" t="n"/>
      <c r="H116" s="11" t="n"/>
      <c r="I116" s="12">
        <f>IF($A116="","",IF($H116="","",$H116+IFERROR(VLOOKUP($B116,Suppliers!$A$5:$I$54,7,FALSE),0)))</f>
        <v/>
      </c>
      <c r="J116" s="8" t="n"/>
      <c r="K116" s="11" t="n"/>
      <c r="L116" s="13">
        <f>IF($A116="","",IF($D116="","",$D116-$J116))</f>
        <v/>
      </c>
      <c r="M116" s="10">
        <f>IF($A116="","",IF(OR($L116="",$E116=""),"",$L116*$E116))</f>
        <v/>
      </c>
      <c r="N116" s="14">
        <f>IF($A116="","",IF($D116="","",IF($J116&gt;=$D116,"Received",IF($J116&gt;0,"Part received","Open"))))</f>
        <v/>
      </c>
      <c r="O116" s="13">
        <f>IF($A116="","",IF($L116="","",IF($L116&lt;=0,"",IF($I116="","",MAX(0,TODAY()-$I116)))))</f>
        <v/>
      </c>
      <c r="P116" s="13">
        <f>IF($A116="","",IFERROR(RIGHT($A116,4)*1,""))</f>
        <v/>
      </c>
      <c r="Q116" s="13">
        <f>IF($A116="","",COUNTIFS($A$5:$A116,$A116))</f>
        <v/>
      </c>
      <c r="R116" s="14">
        <f>IF($A116="","",$A116&amp;"|"&amp;$Q116)</f>
        <v/>
      </c>
      <c r="S116" s="13">
        <f>IF($A116="","",IF($Q116=1,MAX($S$4:$S115)+1,""))</f>
        <v/>
      </c>
      <c r="T116" s="13">
        <f>IF($S116="","",IF(SUMIFS($L$5:$L$204,$A$5:$A$204,$A116)&gt;0,1,0))</f>
        <v/>
      </c>
    </row>
    <row r="117">
      <c r="A117" s="7" t="n"/>
      <c r="B117" s="7" t="n"/>
      <c r="C117" s="7" t="n"/>
      <c r="D117" s="8" t="n"/>
      <c r="E117" s="9" t="n"/>
      <c r="F117" s="10">
        <f>IF($A117="","",IF(OR($D117="",$E117=""),"",$D117*$E117))</f>
        <v/>
      </c>
      <c r="G117" s="7" t="n"/>
      <c r="H117" s="11" t="n"/>
      <c r="I117" s="12">
        <f>IF($A117="","",IF($H117="","",$H117+IFERROR(VLOOKUP($B117,Suppliers!$A$5:$I$54,7,FALSE),0)))</f>
        <v/>
      </c>
      <c r="J117" s="8" t="n"/>
      <c r="K117" s="11" t="n"/>
      <c r="L117" s="13">
        <f>IF($A117="","",IF($D117="","",$D117-$J117))</f>
        <v/>
      </c>
      <c r="M117" s="10">
        <f>IF($A117="","",IF(OR($L117="",$E117=""),"",$L117*$E117))</f>
        <v/>
      </c>
      <c r="N117" s="14">
        <f>IF($A117="","",IF($D117="","",IF($J117&gt;=$D117,"Received",IF($J117&gt;0,"Part received","Open"))))</f>
        <v/>
      </c>
      <c r="O117" s="13">
        <f>IF($A117="","",IF($L117="","",IF($L117&lt;=0,"",IF($I117="","",MAX(0,TODAY()-$I117)))))</f>
        <v/>
      </c>
      <c r="P117" s="13">
        <f>IF($A117="","",IFERROR(RIGHT($A117,4)*1,""))</f>
        <v/>
      </c>
      <c r="Q117" s="13">
        <f>IF($A117="","",COUNTIFS($A$5:$A117,$A117))</f>
        <v/>
      </c>
      <c r="R117" s="14">
        <f>IF($A117="","",$A117&amp;"|"&amp;$Q117)</f>
        <v/>
      </c>
      <c r="S117" s="13">
        <f>IF($A117="","",IF($Q117=1,MAX($S$4:$S116)+1,""))</f>
        <v/>
      </c>
      <c r="T117" s="13">
        <f>IF($S117="","",IF(SUMIFS($L$5:$L$204,$A$5:$A$204,$A117)&gt;0,1,0))</f>
        <v/>
      </c>
    </row>
    <row r="118">
      <c r="A118" s="7" t="n"/>
      <c r="B118" s="7" t="n"/>
      <c r="C118" s="7" t="n"/>
      <c r="D118" s="8" t="n"/>
      <c r="E118" s="9" t="n"/>
      <c r="F118" s="10">
        <f>IF($A118="","",IF(OR($D118="",$E118=""),"",$D118*$E118))</f>
        <v/>
      </c>
      <c r="G118" s="7" t="n"/>
      <c r="H118" s="11" t="n"/>
      <c r="I118" s="12">
        <f>IF($A118="","",IF($H118="","",$H118+IFERROR(VLOOKUP($B118,Suppliers!$A$5:$I$54,7,FALSE),0)))</f>
        <v/>
      </c>
      <c r="J118" s="8" t="n"/>
      <c r="K118" s="11" t="n"/>
      <c r="L118" s="13">
        <f>IF($A118="","",IF($D118="","",$D118-$J118))</f>
        <v/>
      </c>
      <c r="M118" s="10">
        <f>IF($A118="","",IF(OR($L118="",$E118=""),"",$L118*$E118))</f>
        <v/>
      </c>
      <c r="N118" s="14">
        <f>IF($A118="","",IF($D118="","",IF($J118&gt;=$D118,"Received",IF($J118&gt;0,"Part received","Open"))))</f>
        <v/>
      </c>
      <c r="O118" s="13">
        <f>IF($A118="","",IF($L118="","",IF($L118&lt;=0,"",IF($I118="","",MAX(0,TODAY()-$I118)))))</f>
        <v/>
      </c>
      <c r="P118" s="13">
        <f>IF($A118="","",IFERROR(RIGHT($A118,4)*1,""))</f>
        <v/>
      </c>
      <c r="Q118" s="13">
        <f>IF($A118="","",COUNTIFS($A$5:$A118,$A118))</f>
        <v/>
      </c>
      <c r="R118" s="14">
        <f>IF($A118="","",$A118&amp;"|"&amp;$Q118)</f>
        <v/>
      </c>
      <c r="S118" s="13">
        <f>IF($A118="","",IF($Q118=1,MAX($S$4:$S117)+1,""))</f>
        <v/>
      </c>
      <c r="T118" s="13">
        <f>IF($S118="","",IF(SUMIFS($L$5:$L$204,$A$5:$A$204,$A118)&gt;0,1,0))</f>
        <v/>
      </c>
    </row>
    <row r="119">
      <c r="A119" s="7" t="n"/>
      <c r="B119" s="7" t="n"/>
      <c r="C119" s="7" t="n"/>
      <c r="D119" s="8" t="n"/>
      <c r="E119" s="9" t="n"/>
      <c r="F119" s="10">
        <f>IF($A119="","",IF(OR($D119="",$E119=""),"",$D119*$E119))</f>
        <v/>
      </c>
      <c r="G119" s="7" t="n"/>
      <c r="H119" s="11" t="n"/>
      <c r="I119" s="12">
        <f>IF($A119="","",IF($H119="","",$H119+IFERROR(VLOOKUP($B119,Suppliers!$A$5:$I$54,7,FALSE),0)))</f>
        <v/>
      </c>
      <c r="J119" s="8" t="n"/>
      <c r="K119" s="11" t="n"/>
      <c r="L119" s="13">
        <f>IF($A119="","",IF($D119="","",$D119-$J119))</f>
        <v/>
      </c>
      <c r="M119" s="10">
        <f>IF($A119="","",IF(OR($L119="",$E119=""),"",$L119*$E119))</f>
        <v/>
      </c>
      <c r="N119" s="14">
        <f>IF($A119="","",IF($D119="","",IF($J119&gt;=$D119,"Received",IF($J119&gt;0,"Part received","Open"))))</f>
        <v/>
      </c>
      <c r="O119" s="13">
        <f>IF($A119="","",IF($L119="","",IF($L119&lt;=0,"",IF($I119="","",MAX(0,TODAY()-$I119)))))</f>
        <v/>
      </c>
      <c r="P119" s="13">
        <f>IF($A119="","",IFERROR(RIGHT($A119,4)*1,""))</f>
        <v/>
      </c>
      <c r="Q119" s="13">
        <f>IF($A119="","",COUNTIFS($A$5:$A119,$A119))</f>
        <v/>
      </c>
      <c r="R119" s="14">
        <f>IF($A119="","",$A119&amp;"|"&amp;$Q119)</f>
        <v/>
      </c>
      <c r="S119" s="13">
        <f>IF($A119="","",IF($Q119=1,MAX($S$4:$S118)+1,""))</f>
        <v/>
      </c>
      <c r="T119" s="13">
        <f>IF($S119="","",IF(SUMIFS($L$5:$L$204,$A$5:$A$204,$A119)&gt;0,1,0))</f>
        <v/>
      </c>
    </row>
    <row r="120">
      <c r="A120" s="7" t="n"/>
      <c r="B120" s="7" t="n"/>
      <c r="C120" s="7" t="n"/>
      <c r="D120" s="8" t="n"/>
      <c r="E120" s="9" t="n"/>
      <c r="F120" s="10">
        <f>IF($A120="","",IF(OR($D120="",$E120=""),"",$D120*$E120))</f>
        <v/>
      </c>
      <c r="G120" s="7" t="n"/>
      <c r="H120" s="11" t="n"/>
      <c r="I120" s="12">
        <f>IF($A120="","",IF($H120="","",$H120+IFERROR(VLOOKUP($B120,Suppliers!$A$5:$I$54,7,FALSE),0)))</f>
        <v/>
      </c>
      <c r="J120" s="8" t="n"/>
      <c r="K120" s="11" t="n"/>
      <c r="L120" s="13">
        <f>IF($A120="","",IF($D120="","",$D120-$J120))</f>
        <v/>
      </c>
      <c r="M120" s="10">
        <f>IF($A120="","",IF(OR($L120="",$E120=""),"",$L120*$E120))</f>
        <v/>
      </c>
      <c r="N120" s="14">
        <f>IF($A120="","",IF($D120="","",IF($J120&gt;=$D120,"Received",IF($J120&gt;0,"Part received","Open"))))</f>
        <v/>
      </c>
      <c r="O120" s="13">
        <f>IF($A120="","",IF($L120="","",IF($L120&lt;=0,"",IF($I120="","",MAX(0,TODAY()-$I120)))))</f>
        <v/>
      </c>
      <c r="P120" s="13">
        <f>IF($A120="","",IFERROR(RIGHT($A120,4)*1,""))</f>
        <v/>
      </c>
      <c r="Q120" s="13">
        <f>IF($A120="","",COUNTIFS($A$5:$A120,$A120))</f>
        <v/>
      </c>
      <c r="R120" s="14">
        <f>IF($A120="","",$A120&amp;"|"&amp;$Q120)</f>
        <v/>
      </c>
      <c r="S120" s="13">
        <f>IF($A120="","",IF($Q120=1,MAX($S$4:$S119)+1,""))</f>
        <v/>
      </c>
      <c r="T120" s="13">
        <f>IF($S120="","",IF(SUMIFS($L$5:$L$204,$A$5:$A$204,$A120)&gt;0,1,0))</f>
        <v/>
      </c>
    </row>
    <row r="121">
      <c r="A121" s="7" t="n"/>
      <c r="B121" s="7" t="n"/>
      <c r="C121" s="7" t="n"/>
      <c r="D121" s="8" t="n"/>
      <c r="E121" s="9" t="n"/>
      <c r="F121" s="10">
        <f>IF($A121="","",IF(OR($D121="",$E121=""),"",$D121*$E121))</f>
        <v/>
      </c>
      <c r="G121" s="7" t="n"/>
      <c r="H121" s="11" t="n"/>
      <c r="I121" s="12">
        <f>IF($A121="","",IF($H121="","",$H121+IFERROR(VLOOKUP($B121,Suppliers!$A$5:$I$54,7,FALSE),0)))</f>
        <v/>
      </c>
      <c r="J121" s="8" t="n"/>
      <c r="K121" s="11" t="n"/>
      <c r="L121" s="13">
        <f>IF($A121="","",IF($D121="","",$D121-$J121))</f>
        <v/>
      </c>
      <c r="M121" s="10">
        <f>IF($A121="","",IF(OR($L121="",$E121=""),"",$L121*$E121))</f>
        <v/>
      </c>
      <c r="N121" s="14">
        <f>IF($A121="","",IF($D121="","",IF($J121&gt;=$D121,"Received",IF($J121&gt;0,"Part received","Open"))))</f>
        <v/>
      </c>
      <c r="O121" s="13">
        <f>IF($A121="","",IF($L121="","",IF($L121&lt;=0,"",IF($I121="","",MAX(0,TODAY()-$I121)))))</f>
        <v/>
      </c>
      <c r="P121" s="13">
        <f>IF($A121="","",IFERROR(RIGHT($A121,4)*1,""))</f>
        <v/>
      </c>
      <c r="Q121" s="13">
        <f>IF($A121="","",COUNTIFS($A$5:$A121,$A121))</f>
        <v/>
      </c>
      <c r="R121" s="14">
        <f>IF($A121="","",$A121&amp;"|"&amp;$Q121)</f>
        <v/>
      </c>
      <c r="S121" s="13">
        <f>IF($A121="","",IF($Q121=1,MAX($S$4:$S120)+1,""))</f>
        <v/>
      </c>
      <c r="T121" s="13">
        <f>IF($S121="","",IF(SUMIFS($L$5:$L$204,$A$5:$A$204,$A121)&gt;0,1,0))</f>
        <v/>
      </c>
    </row>
    <row r="122">
      <c r="A122" s="7" t="n"/>
      <c r="B122" s="7" t="n"/>
      <c r="C122" s="7" t="n"/>
      <c r="D122" s="8" t="n"/>
      <c r="E122" s="9" t="n"/>
      <c r="F122" s="10">
        <f>IF($A122="","",IF(OR($D122="",$E122=""),"",$D122*$E122))</f>
        <v/>
      </c>
      <c r="G122" s="7" t="n"/>
      <c r="H122" s="11" t="n"/>
      <c r="I122" s="12">
        <f>IF($A122="","",IF($H122="","",$H122+IFERROR(VLOOKUP($B122,Suppliers!$A$5:$I$54,7,FALSE),0)))</f>
        <v/>
      </c>
      <c r="J122" s="8" t="n"/>
      <c r="K122" s="11" t="n"/>
      <c r="L122" s="13">
        <f>IF($A122="","",IF($D122="","",$D122-$J122))</f>
        <v/>
      </c>
      <c r="M122" s="10">
        <f>IF($A122="","",IF(OR($L122="",$E122=""),"",$L122*$E122))</f>
        <v/>
      </c>
      <c r="N122" s="14">
        <f>IF($A122="","",IF($D122="","",IF($J122&gt;=$D122,"Received",IF($J122&gt;0,"Part received","Open"))))</f>
        <v/>
      </c>
      <c r="O122" s="13">
        <f>IF($A122="","",IF($L122="","",IF($L122&lt;=0,"",IF($I122="","",MAX(0,TODAY()-$I122)))))</f>
        <v/>
      </c>
      <c r="P122" s="13">
        <f>IF($A122="","",IFERROR(RIGHT($A122,4)*1,""))</f>
        <v/>
      </c>
      <c r="Q122" s="13">
        <f>IF($A122="","",COUNTIFS($A$5:$A122,$A122))</f>
        <v/>
      </c>
      <c r="R122" s="14">
        <f>IF($A122="","",$A122&amp;"|"&amp;$Q122)</f>
        <v/>
      </c>
      <c r="S122" s="13">
        <f>IF($A122="","",IF($Q122=1,MAX($S$4:$S121)+1,""))</f>
        <v/>
      </c>
      <c r="T122" s="13">
        <f>IF($S122="","",IF(SUMIFS($L$5:$L$204,$A$5:$A$204,$A122)&gt;0,1,0))</f>
        <v/>
      </c>
    </row>
    <row r="123">
      <c r="A123" s="7" t="n"/>
      <c r="B123" s="7" t="n"/>
      <c r="C123" s="7" t="n"/>
      <c r="D123" s="8" t="n"/>
      <c r="E123" s="9" t="n"/>
      <c r="F123" s="10">
        <f>IF($A123="","",IF(OR($D123="",$E123=""),"",$D123*$E123))</f>
        <v/>
      </c>
      <c r="G123" s="7" t="n"/>
      <c r="H123" s="11" t="n"/>
      <c r="I123" s="12">
        <f>IF($A123="","",IF($H123="","",$H123+IFERROR(VLOOKUP($B123,Suppliers!$A$5:$I$54,7,FALSE),0)))</f>
        <v/>
      </c>
      <c r="J123" s="8" t="n"/>
      <c r="K123" s="11" t="n"/>
      <c r="L123" s="13">
        <f>IF($A123="","",IF($D123="","",$D123-$J123))</f>
        <v/>
      </c>
      <c r="M123" s="10">
        <f>IF($A123="","",IF(OR($L123="",$E123=""),"",$L123*$E123))</f>
        <v/>
      </c>
      <c r="N123" s="14">
        <f>IF($A123="","",IF($D123="","",IF($J123&gt;=$D123,"Received",IF($J123&gt;0,"Part received","Open"))))</f>
        <v/>
      </c>
      <c r="O123" s="13">
        <f>IF($A123="","",IF($L123="","",IF($L123&lt;=0,"",IF($I123="","",MAX(0,TODAY()-$I123)))))</f>
        <v/>
      </c>
      <c r="P123" s="13">
        <f>IF($A123="","",IFERROR(RIGHT($A123,4)*1,""))</f>
        <v/>
      </c>
      <c r="Q123" s="13">
        <f>IF($A123="","",COUNTIFS($A$5:$A123,$A123))</f>
        <v/>
      </c>
      <c r="R123" s="14">
        <f>IF($A123="","",$A123&amp;"|"&amp;$Q123)</f>
        <v/>
      </c>
      <c r="S123" s="13">
        <f>IF($A123="","",IF($Q123=1,MAX($S$4:$S122)+1,""))</f>
        <v/>
      </c>
      <c r="T123" s="13">
        <f>IF($S123="","",IF(SUMIFS($L$5:$L$204,$A$5:$A$204,$A123)&gt;0,1,0))</f>
        <v/>
      </c>
    </row>
    <row r="124">
      <c r="A124" s="7" t="n"/>
      <c r="B124" s="7" t="n"/>
      <c r="C124" s="7" t="n"/>
      <c r="D124" s="8" t="n"/>
      <c r="E124" s="9" t="n"/>
      <c r="F124" s="10">
        <f>IF($A124="","",IF(OR($D124="",$E124=""),"",$D124*$E124))</f>
        <v/>
      </c>
      <c r="G124" s="7" t="n"/>
      <c r="H124" s="11" t="n"/>
      <c r="I124" s="12">
        <f>IF($A124="","",IF($H124="","",$H124+IFERROR(VLOOKUP($B124,Suppliers!$A$5:$I$54,7,FALSE),0)))</f>
        <v/>
      </c>
      <c r="J124" s="8" t="n"/>
      <c r="K124" s="11" t="n"/>
      <c r="L124" s="13">
        <f>IF($A124="","",IF($D124="","",$D124-$J124))</f>
        <v/>
      </c>
      <c r="M124" s="10">
        <f>IF($A124="","",IF(OR($L124="",$E124=""),"",$L124*$E124))</f>
        <v/>
      </c>
      <c r="N124" s="14">
        <f>IF($A124="","",IF($D124="","",IF($J124&gt;=$D124,"Received",IF($J124&gt;0,"Part received","Open"))))</f>
        <v/>
      </c>
      <c r="O124" s="13">
        <f>IF($A124="","",IF($L124="","",IF($L124&lt;=0,"",IF($I124="","",MAX(0,TODAY()-$I124)))))</f>
        <v/>
      </c>
      <c r="P124" s="13">
        <f>IF($A124="","",IFERROR(RIGHT($A124,4)*1,""))</f>
        <v/>
      </c>
      <c r="Q124" s="13">
        <f>IF($A124="","",COUNTIFS($A$5:$A124,$A124))</f>
        <v/>
      </c>
      <c r="R124" s="14">
        <f>IF($A124="","",$A124&amp;"|"&amp;$Q124)</f>
        <v/>
      </c>
      <c r="S124" s="13">
        <f>IF($A124="","",IF($Q124=1,MAX($S$4:$S123)+1,""))</f>
        <v/>
      </c>
      <c r="T124" s="13">
        <f>IF($S124="","",IF(SUMIFS($L$5:$L$204,$A$5:$A$204,$A124)&gt;0,1,0))</f>
        <v/>
      </c>
    </row>
    <row r="125">
      <c r="A125" s="7" t="n"/>
      <c r="B125" s="7" t="n"/>
      <c r="C125" s="7" t="n"/>
      <c r="D125" s="8" t="n"/>
      <c r="E125" s="9" t="n"/>
      <c r="F125" s="10">
        <f>IF($A125="","",IF(OR($D125="",$E125=""),"",$D125*$E125))</f>
        <v/>
      </c>
      <c r="G125" s="7" t="n"/>
      <c r="H125" s="11" t="n"/>
      <c r="I125" s="12">
        <f>IF($A125="","",IF($H125="","",$H125+IFERROR(VLOOKUP($B125,Suppliers!$A$5:$I$54,7,FALSE),0)))</f>
        <v/>
      </c>
      <c r="J125" s="8" t="n"/>
      <c r="K125" s="11" t="n"/>
      <c r="L125" s="13">
        <f>IF($A125="","",IF($D125="","",$D125-$J125))</f>
        <v/>
      </c>
      <c r="M125" s="10">
        <f>IF($A125="","",IF(OR($L125="",$E125=""),"",$L125*$E125))</f>
        <v/>
      </c>
      <c r="N125" s="14">
        <f>IF($A125="","",IF($D125="","",IF($J125&gt;=$D125,"Received",IF($J125&gt;0,"Part received","Open"))))</f>
        <v/>
      </c>
      <c r="O125" s="13">
        <f>IF($A125="","",IF($L125="","",IF($L125&lt;=0,"",IF($I125="","",MAX(0,TODAY()-$I125)))))</f>
        <v/>
      </c>
      <c r="P125" s="13">
        <f>IF($A125="","",IFERROR(RIGHT($A125,4)*1,""))</f>
        <v/>
      </c>
      <c r="Q125" s="13">
        <f>IF($A125="","",COUNTIFS($A$5:$A125,$A125))</f>
        <v/>
      </c>
      <c r="R125" s="14">
        <f>IF($A125="","",$A125&amp;"|"&amp;$Q125)</f>
        <v/>
      </c>
      <c r="S125" s="13">
        <f>IF($A125="","",IF($Q125=1,MAX($S$4:$S124)+1,""))</f>
        <v/>
      </c>
      <c r="T125" s="13">
        <f>IF($S125="","",IF(SUMIFS($L$5:$L$204,$A$5:$A$204,$A125)&gt;0,1,0))</f>
        <v/>
      </c>
    </row>
    <row r="126">
      <c r="A126" s="7" t="n"/>
      <c r="B126" s="7" t="n"/>
      <c r="C126" s="7" t="n"/>
      <c r="D126" s="8" t="n"/>
      <c r="E126" s="9" t="n"/>
      <c r="F126" s="10">
        <f>IF($A126="","",IF(OR($D126="",$E126=""),"",$D126*$E126))</f>
        <v/>
      </c>
      <c r="G126" s="7" t="n"/>
      <c r="H126" s="11" t="n"/>
      <c r="I126" s="12">
        <f>IF($A126="","",IF($H126="","",$H126+IFERROR(VLOOKUP($B126,Suppliers!$A$5:$I$54,7,FALSE),0)))</f>
        <v/>
      </c>
      <c r="J126" s="8" t="n"/>
      <c r="K126" s="11" t="n"/>
      <c r="L126" s="13">
        <f>IF($A126="","",IF($D126="","",$D126-$J126))</f>
        <v/>
      </c>
      <c r="M126" s="10">
        <f>IF($A126="","",IF(OR($L126="",$E126=""),"",$L126*$E126))</f>
        <v/>
      </c>
      <c r="N126" s="14">
        <f>IF($A126="","",IF($D126="","",IF($J126&gt;=$D126,"Received",IF($J126&gt;0,"Part received","Open"))))</f>
        <v/>
      </c>
      <c r="O126" s="13">
        <f>IF($A126="","",IF($L126="","",IF($L126&lt;=0,"",IF($I126="","",MAX(0,TODAY()-$I126)))))</f>
        <v/>
      </c>
      <c r="P126" s="13">
        <f>IF($A126="","",IFERROR(RIGHT($A126,4)*1,""))</f>
        <v/>
      </c>
      <c r="Q126" s="13">
        <f>IF($A126="","",COUNTIFS($A$5:$A126,$A126))</f>
        <v/>
      </c>
      <c r="R126" s="14">
        <f>IF($A126="","",$A126&amp;"|"&amp;$Q126)</f>
        <v/>
      </c>
      <c r="S126" s="13">
        <f>IF($A126="","",IF($Q126=1,MAX($S$4:$S125)+1,""))</f>
        <v/>
      </c>
      <c r="T126" s="13">
        <f>IF($S126="","",IF(SUMIFS($L$5:$L$204,$A$5:$A$204,$A126)&gt;0,1,0))</f>
        <v/>
      </c>
    </row>
    <row r="127">
      <c r="A127" s="7" t="n"/>
      <c r="B127" s="7" t="n"/>
      <c r="C127" s="7" t="n"/>
      <c r="D127" s="8" t="n"/>
      <c r="E127" s="9" t="n"/>
      <c r="F127" s="10">
        <f>IF($A127="","",IF(OR($D127="",$E127=""),"",$D127*$E127))</f>
        <v/>
      </c>
      <c r="G127" s="7" t="n"/>
      <c r="H127" s="11" t="n"/>
      <c r="I127" s="12">
        <f>IF($A127="","",IF($H127="","",$H127+IFERROR(VLOOKUP($B127,Suppliers!$A$5:$I$54,7,FALSE),0)))</f>
        <v/>
      </c>
      <c r="J127" s="8" t="n"/>
      <c r="K127" s="11" t="n"/>
      <c r="L127" s="13">
        <f>IF($A127="","",IF($D127="","",$D127-$J127))</f>
        <v/>
      </c>
      <c r="M127" s="10">
        <f>IF($A127="","",IF(OR($L127="",$E127=""),"",$L127*$E127))</f>
        <v/>
      </c>
      <c r="N127" s="14">
        <f>IF($A127="","",IF($D127="","",IF($J127&gt;=$D127,"Received",IF($J127&gt;0,"Part received","Open"))))</f>
        <v/>
      </c>
      <c r="O127" s="13">
        <f>IF($A127="","",IF($L127="","",IF($L127&lt;=0,"",IF($I127="","",MAX(0,TODAY()-$I127)))))</f>
        <v/>
      </c>
      <c r="P127" s="13">
        <f>IF($A127="","",IFERROR(RIGHT($A127,4)*1,""))</f>
        <v/>
      </c>
      <c r="Q127" s="13">
        <f>IF($A127="","",COUNTIFS($A$5:$A127,$A127))</f>
        <v/>
      </c>
      <c r="R127" s="14">
        <f>IF($A127="","",$A127&amp;"|"&amp;$Q127)</f>
        <v/>
      </c>
      <c r="S127" s="13">
        <f>IF($A127="","",IF($Q127=1,MAX($S$4:$S126)+1,""))</f>
        <v/>
      </c>
      <c r="T127" s="13">
        <f>IF($S127="","",IF(SUMIFS($L$5:$L$204,$A$5:$A$204,$A127)&gt;0,1,0))</f>
        <v/>
      </c>
    </row>
    <row r="128">
      <c r="A128" s="7" t="n"/>
      <c r="B128" s="7" t="n"/>
      <c r="C128" s="7" t="n"/>
      <c r="D128" s="8" t="n"/>
      <c r="E128" s="9" t="n"/>
      <c r="F128" s="10">
        <f>IF($A128="","",IF(OR($D128="",$E128=""),"",$D128*$E128))</f>
        <v/>
      </c>
      <c r="G128" s="7" t="n"/>
      <c r="H128" s="11" t="n"/>
      <c r="I128" s="12">
        <f>IF($A128="","",IF($H128="","",$H128+IFERROR(VLOOKUP($B128,Suppliers!$A$5:$I$54,7,FALSE),0)))</f>
        <v/>
      </c>
      <c r="J128" s="8" t="n"/>
      <c r="K128" s="11" t="n"/>
      <c r="L128" s="13">
        <f>IF($A128="","",IF($D128="","",$D128-$J128))</f>
        <v/>
      </c>
      <c r="M128" s="10">
        <f>IF($A128="","",IF(OR($L128="",$E128=""),"",$L128*$E128))</f>
        <v/>
      </c>
      <c r="N128" s="14">
        <f>IF($A128="","",IF($D128="","",IF($J128&gt;=$D128,"Received",IF($J128&gt;0,"Part received","Open"))))</f>
        <v/>
      </c>
      <c r="O128" s="13">
        <f>IF($A128="","",IF($L128="","",IF($L128&lt;=0,"",IF($I128="","",MAX(0,TODAY()-$I128)))))</f>
        <v/>
      </c>
      <c r="P128" s="13">
        <f>IF($A128="","",IFERROR(RIGHT($A128,4)*1,""))</f>
        <v/>
      </c>
      <c r="Q128" s="13">
        <f>IF($A128="","",COUNTIFS($A$5:$A128,$A128))</f>
        <v/>
      </c>
      <c r="R128" s="14">
        <f>IF($A128="","",$A128&amp;"|"&amp;$Q128)</f>
        <v/>
      </c>
      <c r="S128" s="13">
        <f>IF($A128="","",IF($Q128=1,MAX($S$4:$S127)+1,""))</f>
        <v/>
      </c>
      <c r="T128" s="13">
        <f>IF($S128="","",IF(SUMIFS($L$5:$L$204,$A$5:$A$204,$A128)&gt;0,1,0))</f>
        <v/>
      </c>
    </row>
    <row r="129">
      <c r="A129" s="7" t="n"/>
      <c r="B129" s="7" t="n"/>
      <c r="C129" s="7" t="n"/>
      <c r="D129" s="8" t="n"/>
      <c r="E129" s="9" t="n"/>
      <c r="F129" s="10">
        <f>IF($A129="","",IF(OR($D129="",$E129=""),"",$D129*$E129))</f>
        <v/>
      </c>
      <c r="G129" s="7" t="n"/>
      <c r="H129" s="11" t="n"/>
      <c r="I129" s="12">
        <f>IF($A129="","",IF($H129="","",$H129+IFERROR(VLOOKUP($B129,Suppliers!$A$5:$I$54,7,FALSE),0)))</f>
        <v/>
      </c>
      <c r="J129" s="8" t="n"/>
      <c r="K129" s="11" t="n"/>
      <c r="L129" s="13">
        <f>IF($A129="","",IF($D129="","",$D129-$J129))</f>
        <v/>
      </c>
      <c r="M129" s="10">
        <f>IF($A129="","",IF(OR($L129="",$E129=""),"",$L129*$E129))</f>
        <v/>
      </c>
      <c r="N129" s="14">
        <f>IF($A129="","",IF($D129="","",IF($J129&gt;=$D129,"Received",IF($J129&gt;0,"Part received","Open"))))</f>
        <v/>
      </c>
      <c r="O129" s="13">
        <f>IF($A129="","",IF($L129="","",IF($L129&lt;=0,"",IF($I129="","",MAX(0,TODAY()-$I129)))))</f>
        <v/>
      </c>
      <c r="P129" s="13">
        <f>IF($A129="","",IFERROR(RIGHT($A129,4)*1,""))</f>
        <v/>
      </c>
      <c r="Q129" s="13">
        <f>IF($A129="","",COUNTIFS($A$5:$A129,$A129))</f>
        <v/>
      </c>
      <c r="R129" s="14">
        <f>IF($A129="","",$A129&amp;"|"&amp;$Q129)</f>
        <v/>
      </c>
      <c r="S129" s="13">
        <f>IF($A129="","",IF($Q129=1,MAX($S$4:$S128)+1,""))</f>
        <v/>
      </c>
      <c r="T129" s="13">
        <f>IF($S129="","",IF(SUMIFS($L$5:$L$204,$A$5:$A$204,$A129)&gt;0,1,0))</f>
        <v/>
      </c>
    </row>
    <row r="130">
      <c r="A130" s="7" t="n"/>
      <c r="B130" s="7" t="n"/>
      <c r="C130" s="7" t="n"/>
      <c r="D130" s="8" t="n"/>
      <c r="E130" s="9" t="n"/>
      <c r="F130" s="10">
        <f>IF($A130="","",IF(OR($D130="",$E130=""),"",$D130*$E130))</f>
        <v/>
      </c>
      <c r="G130" s="7" t="n"/>
      <c r="H130" s="11" t="n"/>
      <c r="I130" s="12">
        <f>IF($A130="","",IF($H130="","",$H130+IFERROR(VLOOKUP($B130,Suppliers!$A$5:$I$54,7,FALSE),0)))</f>
        <v/>
      </c>
      <c r="J130" s="8" t="n"/>
      <c r="K130" s="11" t="n"/>
      <c r="L130" s="13">
        <f>IF($A130="","",IF($D130="","",$D130-$J130))</f>
        <v/>
      </c>
      <c r="M130" s="10">
        <f>IF($A130="","",IF(OR($L130="",$E130=""),"",$L130*$E130))</f>
        <v/>
      </c>
      <c r="N130" s="14">
        <f>IF($A130="","",IF($D130="","",IF($J130&gt;=$D130,"Received",IF($J130&gt;0,"Part received","Open"))))</f>
        <v/>
      </c>
      <c r="O130" s="13">
        <f>IF($A130="","",IF($L130="","",IF($L130&lt;=0,"",IF($I130="","",MAX(0,TODAY()-$I130)))))</f>
        <v/>
      </c>
      <c r="P130" s="13">
        <f>IF($A130="","",IFERROR(RIGHT($A130,4)*1,""))</f>
        <v/>
      </c>
      <c r="Q130" s="13">
        <f>IF($A130="","",COUNTIFS($A$5:$A130,$A130))</f>
        <v/>
      </c>
      <c r="R130" s="14">
        <f>IF($A130="","",$A130&amp;"|"&amp;$Q130)</f>
        <v/>
      </c>
      <c r="S130" s="13">
        <f>IF($A130="","",IF($Q130=1,MAX($S$4:$S129)+1,""))</f>
        <v/>
      </c>
      <c r="T130" s="13">
        <f>IF($S130="","",IF(SUMIFS($L$5:$L$204,$A$5:$A$204,$A130)&gt;0,1,0))</f>
        <v/>
      </c>
    </row>
    <row r="131">
      <c r="A131" s="7" t="n"/>
      <c r="B131" s="7" t="n"/>
      <c r="C131" s="7" t="n"/>
      <c r="D131" s="8" t="n"/>
      <c r="E131" s="9" t="n"/>
      <c r="F131" s="10">
        <f>IF($A131="","",IF(OR($D131="",$E131=""),"",$D131*$E131))</f>
        <v/>
      </c>
      <c r="G131" s="7" t="n"/>
      <c r="H131" s="11" t="n"/>
      <c r="I131" s="12">
        <f>IF($A131="","",IF($H131="","",$H131+IFERROR(VLOOKUP($B131,Suppliers!$A$5:$I$54,7,FALSE),0)))</f>
        <v/>
      </c>
      <c r="J131" s="8" t="n"/>
      <c r="K131" s="11" t="n"/>
      <c r="L131" s="13">
        <f>IF($A131="","",IF($D131="","",$D131-$J131))</f>
        <v/>
      </c>
      <c r="M131" s="10">
        <f>IF($A131="","",IF(OR($L131="",$E131=""),"",$L131*$E131))</f>
        <v/>
      </c>
      <c r="N131" s="14">
        <f>IF($A131="","",IF($D131="","",IF($J131&gt;=$D131,"Received",IF($J131&gt;0,"Part received","Open"))))</f>
        <v/>
      </c>
      <c r="O131" s="13">
        <f>IF($A131="","",IF($L131="","",IF($L131&lt;=0,"",IF($I131="","",MAX(0,TODAY()-$I131)))))</f>
        <v/>
      </c>
      <c r="P131" s="13">
        <f>IF($A131="","",IFERROR(RIGHT($A131,4)*1,""))</f>
        <v/>
      </c>
      <c r="Q131" s="13">
        <f>IF($A131="","",COUNTIFS($A$5:$A131,$A131))</f>
        <v/>
      </c>
      <c r="R131" s="14">
        <f>IF($A131="","",$A131&amp;"|"&amp;$Q131)</f>
        <v/>
      </c>
      <c r="S131" s="13">
        <f>IF($A131="","",IF($Q131=1,MAX($S$4:$S130)+1,""))</f>
        <v/>
      </c>
      <c r="T131" s="13">
        <f>IF($S131="","",IF(SUMIFS($L$5:$L$204,$A$5:$A$204,$A131)&gt;0,1,0))</f>
        <v/>
      </c>
    </row>
    <row r="132">
      <c r="A132" s="7" t="n"/>
      <c r="B132" s="7" t="n"/>
      <c r="C132" s="7" t="n"/>
      <c r="D132" s="8" t="n"/>
      <c r="E132" s="9" t="n"/>
      <c r="F132" s="10">
        <f>IF($A132="","",IF(OR($D132="",$E132=""),"",$D132*$E132))</f>
        <v/>
      </c>
      <c r="G132" s="7" t="n"/>
      <c r="H132" s="11" t="n"/>
      <c r="I132" s="12">
        <f>IF($A132="","",IF($H132="","",$H132+IFERROR(VLOOKUP($B132,Suppliers!$A$5:$I$54,7,FALSE),0)))</f>
        <v/>
      </c>
      <c r="J132" s="8" t="n"/>
      <c r="K132" s="11" t="n"/>
      <c r="L132" s="13">
        <f>IF($A132="","",IF($D132="","",$D132-$J132))</f>
        <v/>
      </c>
      <c r="M132" s="10">
        <f>IF($A132="","",IF(OR($L132="",$E132=""),"",$L132*$E132))</f>
        <v/>
      </c>
      <c r="N132" s="14">
        <f>IF($A132="","",IF($D132="","",IF($J132&gt;=$D132,"Received",IF($J132&gt;0,"Part received","Open"))))</f>
        <v/>
      </c>
      <c r="O132" s="13">
        <f>IF($A132="","",IF($L132="","",IF($L132&lt;=0,"",IF($I132="","",MAX(0,TODAY()-$I132)))))</f>
        <v/>
      </c>
      <c r="P132" s="13">
        <f>IF($A132="","",IFERROR(RIGHT($A132,4)*1,""))</f>
        <v/>
      </c>
      <c r="Q132" s="13">
        <f>IF($A132="","",COUNTIFS($A$5:$A132,$A132))</f>
        <v/>
      </c>
      <c r="R132" s="14">
        <f>IF($A132="","",$A132&amp;"|"&amp;$Q132)</f>
        <v/>
      </c>
      <c r="S132" s="13">
        <f>IF($A132="","",IF($Q132=1,MAX($S$4:$S131)+1,""))</f>
        <v/>
      </c>
      <c r="T132" s="13">
        <f>IF($S132="","",IF(SUMIFS($L$5:$L$204,$A$5:$A$204,$A132)&gt;0,1,0))</f>
        <v/>
      </c>
    </row>
    <row r="133">
      <c r="A133" s="7" t="n"/>
      <c r="B133" s="7" t="n"/>
      <c r="C133" s="7" t="n"/>
      <c r="D133" s="8" t="n"/>
      <c r="E133" s="9" t="n"/>
      <c r="F133" s="10">
        <f>IF($A133="","",IF(OR($D133="",$E133=""),"",$D133*$E133))</f>
        <v/>
      </c>
      <c r="G133" s="7" t="n"/>
      <c r="H133" s="11" t="n"/>
      <c r="I133" s="12">
        <f>IF($A133="","",IF($H133="","",$H133+IFERROR(VLOOKUP($B133,Suppliers!$A$5:$I$54,7,FALSE),0)))</f>
        <v/>
      </c>
      <c r="J133" s="8" t="n"/>
      <c r="K133" s="11" t="n"/>
      <c r="L133" s="13">
        <f>IF($A133="","",IF($D133="","",$D133-$J133))</f>
        <v/>
      </c>
      <c r="M133" s="10">
        <f>IF($A133="","",IF(OR($L133="",$E133=""),"",$L133*$E133))</f>
        <v/>
      </c>
      <c r="N133" s="14">
        <f>IF($A133="","",IF($D133="","",IF($J133&gt;=$D133,"Received",IF($J133&gt;0,"Part received","Open"))))</f>
        <v/>
      </c>
      <c r="O133" s="13">
        <f>IF($A133="","",IF($L133="","",IF($L133&lt;=0,"",IF($I133="","",MAX(0,TODAY()-$I133)))))</f>
        <v/>
      </c>
      <c r="P133" s="13">
        <f>IF($A133="","",IFERROR(RIGHT($A133,4)*1,""))</f>
        <v/>
      </c>
      <c r="Q133" s="13">
        <f>IF($A133="","",COUNTIFS($A$5:$A133,$A133))</f>
        <v/>
      </c>
      <c r="R133" s="14">
        <f>IF($A133="","",$A133&amp;"|"&amp;$Q133)</f>
        <v/>
      </c>
      <c r="S133" s="13">
        <f>IF($A133="","",IF($Q133=1,MAX($S$4:$S132)+1,""))</f>
        <v/>
      </c>
      <c r="T133" s="13">
        <f>IF($S133="","",IF(SUMIFS($L$5:$L$204,$A$5:$A$204,$A133)&gt;0,1,0))</f>
        <v/>
      </c>
    </row>
    <row r="134">
      <c r="A134" s="7" t="n"/>
      <c r="B134" s="7" t="n"/>
      <c r="C134" s="7" t="n"/>
      <c r="D134" s="8" t="n"/>
      <c r="E134" s="9" t="n"/>
      <c r="F134" s="10">
        <f>IF($A134="","",IF(OR($D134="",$E134=""),"",$D134*$E134))</f>
        <v/>
      </c>
      <c r="G134" s="7" t="n"/>
      <c r="H134" s="11" t="n"/>
      <c r="I134" s="12">
        <f>IF($A134="","",IF($H134="","",$H134+IFERROR(VLOOKUP($B134,Suppliers!$A$5:$I$54,7,FALSE),0)))</f>
        <v/>
      </c>
      <c r="J134" s="8" t="n"/>
      <c r="K134" s="11" t="n"/>
      <c r="L134" s="13">
        <f>IF($A134="","",IF($D134="","",$D134-$J134))</f>
        <v/>
      </c>
      <c r="M134" s="10">
        <f>IF($A134="","",IF(OR($L134="",$E134=""),"",$L134*$E134))</f>
        <v/>
      </c>
      <c r="N134" s="14">
        <f>IF($A134="","",IF($D134="","",IF($J134&gt;=$D134,"Received",IF($J134&gt;0,"Part received","Open"))))</f>
        <v/>
      </c>
      <c r="O134" s="13">
        <f>IF($A134="","",IF($L134="","",IF($L134&lt;=0,"",IF($I134="","",MAX(0,TODAY()-$I134)))))</f>
        <v/>
      </c>
      <c r="P134" s="13">
        <f>IF($A134="","",IFERROR(RIGHT($A134,4)*1,""))</f>
        <v/>
      </c>
      <c r="Q134" s="13">
        <f>IF($A134="","",COUNTIFS($A$5:$A134,$A134))</f>
        <v/>
      </c>
      <c r="R134" s="14">
        <f>IF($A134="","",$A134&amp;"|"&amp;$Q134)</f>
        <v/>
      </c>
      <c r="S134" s="13">
        <f>IF($A134="","",IF($Q134=1,MAX($S$4:$S133)+1,""))</f>
        <v/>
      </c>
      <c r="T134" s="13">
        <f>IF($S134="","",IF(SUMIFS($L$5:$L$204,$A$5:$A$204,$A134)&gt;0,1,0))</f>
        <v/>
      </c>
    </row>
    <row r="135">
      <c r="A135" s="7" t="n"/>
      <c r="B135" s="7" t="n"/>
      <c r="C135" s="7" t="n"/>
      <c r="D135" s="8" t="n"/>
      <c r="E135" s="9" t="n"/>
      <c r="F135" s="10">
        <f>IF($A135="","",IF(OR($D135="",$E135=""),"",$D135*$E135))</f>
        <v/>
      </c>
      <c r="G135" s="7" t="n"/>
      <c r="H135" s="11" t="n"/>
      <c r="I135" s="12">
        <f>IF($A135="","",IF($H135="","",$H135+IFERROR(VLOOKUP($B135,Suppliers!$A$5:$I$54,7,FALSE),0)))</f>
        <v/>
      </c>
      <c r="J135" s="8" t="n"/>
      <c r="K135" s="11" t="n"/>
      <c r="L135" s="13">
        <f>IF($A135="","",IF($D135="","",$D135-$J135))</f>
        <v/>
      </c>
      <c r="M135" s="10">
        <f>IF($A135="","",IF(OR($L135="",$E135=""),"",$L135*$E135))</f>
        <v/>
      </c>
      <c r="N135" s="14">
        <f>IF($A135="","",IF($D135="","",IF($J135&gt;=$D135,"Received",IF($J135&gt;0,"Part received","Open"))))</f>
        <v/>
      </c>
      <c r="O135" s="13">
        <f>IF($A135="","",IF($L135="","",IF($L135&lt;=0,"",IF($I135="","",MAX(0,TODAY()-$I135)))))</f>
        <v/>
      </c>
      <c r="P135" s="13">
        <f>IF($A135="","",IFERROR(RIGHT($A135,4)*1,""))</f>
        <v/>
      </c>
      <c r="Q135" s="13">
        <f>IF($A135="","",COUNTIFS($A$5:$A135,$A135))</f>
        <v/>
      </c>
      <c r="R135" s="14">
        <f>IF($A135="","",$A135&amp;"|"&amp;$Q135)</f>
        <v/>
      </c>
      <c r="S135" s="13">
        <f>IF($A135="","",IF($Q135=1,MAX($S$4:$S134)+1,""))</f>
        <v/>
      </c>
      <c r="T135" s="13">
        <f>IF($S135="","",IF(SUMIFS($L$5:$L$204,$A$5:$A$204,$A135)&gt;0,1,0))</f>
        <v/>
      </c>
    </row>
    <row r="136">
      <c r="A136" s="7" t="n"/>
      <c r="B136" s="7" t="n"/>
      <c r="C136" s="7" t="n"/>
      <c r="D136" s="8" t="n"/>
      <c r="E136" s="9" t="n"/>
      <c r="F136" s="10">
        <f>IF($A136="","",IF(OR($D136="",$E136=""),"",$D136*$E136))</f>
        <v/>
      </c>
      <c r="G136" s="7" t="n"/>
      <c r="H136" s="11" t="n"/>
      <c r="I136" s="12">
        <f>IF($A136="","",IF($H136="","",$H136+IFERROR(VLOOKUP($B136,Suppliers!$A$5:$I$54,7,FALSE),0)))</f>
        <v/>
      </c>
      <c r="J136" s="8" t="n"/>
      <c r="K136" s="11" t="n"/>
      <c r="L136" s="13">
        <f>IF($A136="","",IF($D136="","",$D136-$J136))</f>
        <v/>
      </c>
      <c r="M136" s="10">
        <f>IF($A136="","",IF(OR($L136="",$E136=""),"",$L136*$E136))</f>
        <v/>
      </c>
      <c r="N136" s="14">
        <f>IF($A136="","",IF($D136="","",IF($J136&gt;=$D136,"Received",IF($J136&gt;0,"Part received","Open"))))</f>
        <v/>
      </c>
      <c r="O136" s="13">
        <f>IF($A136="","",IF($L136="","",IF($L136&lt;=0,"",IF($I136="","",MAX(0,TODAY()-$I136)))))</f>
        <v/>
      </c>
      <c r="P136" s="13">
        <f>IF($A136="","",IFERROR(RIGHT($A136,4)*1,""))</f>
        <v/>
      </c>
      <c r="Q136" s="13">
        <f>IF($A136="","",COUNTIFS($A$5:$A136,$A136))</f>
        <v/>
      </c>
      <c r="R136" s="14">
        <f>IF($A136="","",$A136&amp;"|"&amp;$Q136)</f>
        <v/>
      </c>
      <c r="S136" s="13">
        <f>IF($A136="","",IF($Q136=1,MAX($S$4:$S135)+1,""))</f>
        <v/>
      </c>
      <c r="T136" s="13">
        <f>IF($S136="","",IF(SUMIFS($L$5:$L$204,$A$5:$A$204,$A136)&gt;0,1,0))</f>
        <v/>
      </c>
    </row>
    <row r="137">
      <c r="A137" s="7" t="n"/>
      <c r="B137" s="7" t="n"/>
      <c r="C137" s="7" t="n"/>
      <c r="D137" s="8" t="n"/>
      <c r="E137" s="9" t="n"/>
      <c r="F137" s="10">
        <f>IF($A137="","",IF(OR($D137="",$E137=""),"",$D137*$E137))</f>
        <v/>
      </c>
      <c r="G137" s="7" t="n"/>
      <c r="H137" s="11" t="n"/>
      <c r="I137" s="12">
        <f>IF($A137="","",IF($H137="","",$H137+IFERROR(VLOOKUP($B137,Suppliers!$A$5:$I$54,7,FALSE),0)))</f>
        <v/>
      </c>
      <c r="J137" s="8" t="n"/>
      <c r="K137" s="11" t="n"/>
      <c r="L137" s="13">
        <f>IF($A137="","",IF($D137="","",$D137-$J137))</f>
        <v/>
      </c>
      <c r="M137" s="10">
        <f>IF($A137="","",IF(OR($L137="",$E137=""),"",$L137*$E137))</f>
        <v/>
      </c>
      <c r="N137" s="14">
        <f>IF($A137="","",IF($D137="","",IF($J137&gt;=$D137,"Received",IF($J137&gt;0,"Part received","Open"))))</f>
        <v/>
      </c>
      <c r="O137" s="13">
        <f>IF($A137="","",IF($L137="","",IF($L137&lt;=0,"",IF($I137="","",MAX(0,TODAY()-$I137)))))</f>
        <v/>
      </c>
      <c r="P137" s="13">
        <f>IF($A137="","",IFERROR(RIGHT($A137,4)*1,""))</f>
        <v/>
      </c>
      <c r="Q137" s="13">
        <f>IF($A137="","",COUNTIFS($A$5:$A137,$A137))</f>
        <v/>
      </c>
      <c r="R137" s="14">
        <f>IF($A137="","",$A137&amp;"|"&amp;$Q137)</f>
        <v/>
      </c>
      <c r="S137" s="13">
        <f>IF($A137="","",IF($Q137=1,MAX($S$4:$S136)+1,""))</f>
        <v/>
      </c>
      <c r="T137" s="13">
        <f>IF($S137="","",IF(SUMIFS($L$5:$L$204,$A$5:$A$204,$A137)&gt;0,1,0))</f>
        <v/>
      </c>
    </row>
    <row r="138">
      <c r="A138" s="7" t="n"/>
      <c r="B138" s="7" t="n"/>
      <c r="C138" s="7" t="n"/>
      <c r="D138" s="8" t="n"/>
      <c r="E138" s="9" t="n"/>
      <c r="F138" s="10">
        <f>IF($A138="","",IF(OR($D138="",$E138=""),"",$D138*$E138))</f>
        <v/>
      </c>
      <c r="G138" s="7" t="n"/>
      <c r="H138" s="11" t="n"/>
      <c r="I138" s="12">
        <f>IF($A138="","",IF($H138="","",$H138+IFERROR(VLOOKUP($B138,Suppliers!$A$5:$I$54,7,FALSE),0)))</f>
        <v/>
      </c>
      <c r="J138" s="8" t="n"/>
      <c r="K138" s="11" t="n"/>
      <c r="L138" s="13">
        <f>IF($A138="","",IF($D138="","",$D138-$J138))</f>
        <v/>
      </c>
      <c r="M138" s="10">
        <f>IF($A138="","",IF(OR($L138="",$E138=""),"",$L138*$E138))</f>
        <v/>
      </c>
      <c r="N138" s="14">
        <f>IF($A138="","",IF($D138="","",IF($J138&gt;=$D138,"Received",IF($J138&gt;0,"Part received","Open"))))</f>
        <v/>
      </c>
      <c r="O138" s="13">
        <f>IF($A138="","",IF($L138="","",IF($L138&lt;=0,"",IF($I138="","",MAX(0,TODAY()-$I138)))))</f>
        <v/>
      </c>
      <c r="P138" s="13">
        <f>IF($A138="","",IFERROR(RIGHT($A138,4)*1,""))</f>
        <v/>
      </c>
      <c r="Q138" s="13">
        <f>IF($A138="","",COUNTIFS($A$5:$A138,$A138))</f>
        <v/>
      </c>
      <c r="R138" s="14">
        <f>IF($A138="","",$A138&amp;"|"&amp;$Q138)</f>
        <v/>
      </c>
      <c r="S138" s="13">
        <f>IF($A138="","",IF($Q138=1,MAX($S$4:$S137)+1,""))</f>
        <v/>
      </c>
      <c r="T138" s="13">
        <f>IF($S138="","",IF(SUMIFS($L$5:$L$204,$A$5:$A$204,$A138)&gt;0,1,0))</f>
        <v/>
      </c>
    </row>
    <row r="139">
      <c r="A139" s="7" t="n"/>
      <c r="B139" s="7" t="n"/>
      <c r="C139" s="7" t="n"/>
      <c r="D139" s="8" t="n"/>
      <c r="E139" s="9" t="n"/>
      <c r="F139" s="10">
        <f>IF($A139="","",IF(OR($D139="",$E139=""),"",$D139*$E139))</f>
        <v/>
      </c>
      <c r="G139" s="7" t="n"/>
      <c r="H139" s="11" t="n"/>
      <c r="I139" s="12">
        <f>IF($A139="","",IF($H139="","",$H139+IFERROR(VLOOKUP($B139,Suppliers!$A$5:$I$54,7,FALSE),0)))</f>
        <v/>
      </c>
      <c r="J139" s="8" t="n"/>
      <c r="K139" s="11" t="n"/>
      <c r="L139" s="13">
        <f>IF($A139="","",IF($D139="","",$D139-$J139))</f>
        <v/>
      </c>
      <c r="M139" s="10">
        <f>IF($A139="","",IF(OR($L139="",$E139=""),"",$L139*$E139))</f>
        <v/>
      </c>
      <c r="N139" s="14">
        <f>IF($A139="","",IF($D139="","",IF($J139&gt;=$D139,"Received",IF($J139&gt;0,"Part received","Open"))))</f>
        <v/>
      </c>
      <c r="O139" s="13">
        <f>IF($A139="","",IF($L139="","",IF($L139&lt;=0,"",IF($I139="","",MAX(0,TODAY()-$I139)))))</f>
        <v/>
      </c>
      <c r="P139" s="13">
        <f>IF($A139="","",IFERROR(RIGHT($A139,4)*1,""))</f>
        <v/>
      </c>
      <c r="Q139" s="13">
        <f>IF($A139="","",COUNTIFS($A$5:$A139,$A139))</f>
        <v/>
      </c>
      <c r="R139" s="14">
        <f>IF($A139="","",$A139&amp;"|"&amp;$Q139)</f>
        <v/>
      </c>
      <c r="S139" s="13">
        <f>IF($A139="","",IF($Q139=1,MAX($S$4:$S138)+1,""))</f>
        <v/>
      </c>
      <c r="T139" s="13">
        <f>IF($S139="","",IF(SUMIFS($L$5:$L$204,$A$5:$A$204,$A139)&gt;0,1,0))</f>
        <v/>
      </c>
    </row>
    <row r="140">
      <c r="A140" s="7" t="n"/>
      <c r="B140" s="7" t="n"/>
      <c r="C140" s="7" t="n"/>
      <c r="D140" s="8" t="n"/>
      <c r="E140" s="9" t="n"/>
      <c r="F140" s="10">
        <f>IF($A140="","",IF(OR($D140="",$E140=""),"",$D140*$E140))</f>
        <v/>
      </c>
      <c r="G140" s="7" t="n"/>
      <c r="H140" s="11" t="n"/>
      <c r="I140" s="12">
        <f>IF($A140="","",IF($H140="","",$H140+IFERROR(VLOOKUP($B140,Suppliers!$A$5:$I$54,7,FALSE),0)))</f>
        <v/>
      </c>
      <c r="J140" s="8" t="n"/>
      <c r="K140" s="11" t="n"/>
      <c r="L140" s="13">
        <f>IF($A140="","",IF($D140="","",$D140-$J140))</f>
        <v/>
      </c>
      <c r="M140" s="10">
        <f>IF($A140="","",IF(OR($L140="",$E140=""),"",$L140*$E140))</f>
        <v/>
      </c>
      <c r="N140" s="14">
        <f>IF($A140="","",IF($D140="","",IF($J140&gt;=$D140,"Received",IF($J140&gt;0,"Part received","Open"))))</f>
        <v/>
      </c>
      <c r="O140" s="13">
        <f>IF($A140="","",IF($L140="","",IF($L140&lt;=0,"",IF($I140="","",MAX(0,TODAY()-$I140)))))</f>
        <v/>
      </c>
      <c r="P140" s="13">
        <f>IF($A140="","",IFERROR(RIGHT($A140,4)*1,""))</f>
        <v/>
      </c>
      <c r="Q140" s="13">
        <f>IF($A140="","",COUNTIFS($A$5:$A140,$A140))</f>
        <v/>
      </c>
      <c r="R140" s="14">
        <f>IF($A140="","",$A140&amp;"|"&amp;$Q140)</f>
        <v/>
      </c>
      <c r="S140" s="13">
        <f>IF($A140="","",IF($Q140=1,MAX($S$4:$S139)+1,""))</f>
        <v/>
      </c>
      <c r="T140" s="13">
        <f>IF($S140="","",IF(SUMIFS($L$5:$L$204,$A$5:$A$204,$A140)&gt;0,1,0))</f>
        <v/>
      </c>
    </row>
    <row r="141">
      <c r="A141" s="7" t="n"/>
      <c r="B141" s="7" t="n"/>
      <c r="C141" s="7" t="n"/>
      <c r="D141" s="8" t="n"/>
      <c r="E141" s="9" t="n"/>
      <c r="F141" s="10">
        <f>IF($A141="","",IF(OR($D141="",$E141=""),"",$D141*$E141))</f>
        <v/>
      </c>
      <c r="G141" s="7" t="n"/>
      <c r="H141" s="11" t="n"/>
      <c r="I141" s="12">
        <f>IF($A141="","",IF($H141="","",$H141+IFERROR(VLOOKUP($B141,Suppliers!$A$5:$I$54,7,FALSE),0)))</f>
        <v/>
      </c>
      <c r="J141" s="8" t="n"/>
      <c r="K141" s="11" t="n"/>
      <c r="L141" s="13">
        <f>IF($A141="","",IF($D141="","",$D141-$J141))</f>
        <v/>
      </c>
      <c r="M141" s="10">
        <f>IF($A141="","",IF(OR($L141="",$E141=""),"",$L141*$E141))</f>
        <v/>
      </c>
      <c r="N141" s="14">
        <f>IF($A141="","",IF($D141="","",IF($J141&gt;=$D141,"Received",IF($J141&gt;0,"Part received","Open"))))</f>
        <v/>
      </c>
      <c r="O141" s="13">
        <f>IF($A141="","",IF($L141="","",IF($L141&lt;=0,"",IF($I141="","",MAX(0,TODAY()-$I141)))))</f>
        <v/>
      </c>
      <c r="P141" s="13">
        <f>IF($A141="","",IFERROR(RIGHT($A141,4)*1,""))</f>
        <v/>
      </c>
      <c r="Q141" s="13">
        <f>IF($A141="","",COUNTIFS($A$5:$A141,$A141))</f>
        <v/>
      </c>
      <c r="R141" s="14">
        <f>IF($A141="","",$A141&amp;"|"&amp;$Q141)</f>
        <v/>
      </c>
      <c r="S141" s="13">
        <f>IF($A141="","",IF($Q141=1,MAX($S$4:$S140)+1,""))</f>
        <v/>
      </c>
      <c r="T141" s="13">
        <f>IF($S141="","",IF(SUMIFS($L$5:$L$204,$A$5:$A$204,$A141)&gt;0,1,0))</f>
        <v/>
      </c>
    </row>
    <row r="142">
      <c r="A142" s="7" t="n"/>
      <c r="B142" s="7" t="n"/>
      <c r="C142" s="7" t="n"/>
      <c r="D142" s="8" t="n"/>
      <c r="E142" s="9" t="n"/>
      <c r="F142" s="10">
        <f>IF($A142="","",IF(OR($D142="",$E142=""),"",$D142*$E142))</f>
        <v/>
      </c>
      <c r="G142" s="7" t="n"/>
      <c r="H142" s="11" t="n"/>
      <c r="I142" s="12">
        <f>IF($A142="","",IF($H142="","",$H142+IFERROR(VLOOKUP($B142,Suppliers!$A$5:$I$54,7,FALSE),0)))</f>
        <v/>
      </c>
      <c r="J142" s="8" t="n"/>
      <c r="K142" s="11" t="n"/>
      <c r="L142" s="13">
        <f>IF($A142="","",IF($D142="","",$D142-$J142))</f>
        <v/>
      </c>
      <c r="M142" s="10">
        <f>IF($A142="","",IF(OR($L142="",$E142=""),"",$L142*$E142))</f>
        <v/>
      </c>
      <c r="N142" s="14">
        <f>IF($A142="","",IF($D142="","",IF($J142&gt;=$D142,"Received",IF($J142&gt;0,"Part received","Open"))))</f>
        <v/>
      </c>
      <c r="O142" s="13">
        <f>IF($A142="","",IF($L142="","",IF($L142&lt;=0,"",IF($I142="","",MAX(0,TODAY()-$I142)))))</f>
        <v/>
      </c>
      <c r="P142" s="13">
        <f>IF($A142="","",IFERROR(RIGHT($A142,4)*1,""))</f>
        <v/>
      </c>
      <c r="Q142" s="13">
        <f>IF($A142="","",COUNTIFS($A$5:$A142,$A142))</f>
        <v/>
      </c>
      <c r="R142" s="14">
        <f>IF($A142="","",$A142&amp;"|"&amp;$Q142)</f>
        <v/>
      </c>
      <c r="S142" s="13">
        <f>IF($A142="","",IF($Q142=1,MAX($S$4:$S141)+1,""))</f>
        <v/>
      </c>
      <c r="T142" s="13">
        <f>IF($S142="","",IF(SUMIFS($L$5:$L$204,$A$5:$A$204,$A142)&gt;0,1,0))</f>
        <v/>
      </c>
    </row>
    <row r="143">
      <c r="A143" s="7" t="n"/>
      <c r="B143" s="7" t="n"/>
      <c r="C143" s="7" t="n"/>
      <c r="D143" s="8" t="n"/>
      <c r="E143" s="9" t="n"/>
      <c r="F143" s="10">
        <f>IF($A143="","",IF(OR($D143="",$E143=""),"",$D143*$E143))</f>
        <v/>
      </c>
      <c r="G143" s="7" t="n"/>
      <c r="H143" s="11" t="n"/>
      <c r="I143" s="12">
        <f>IF($A143="","",IF($H143="","",$H143+IFERROR(VLOOKUP($B143,Suppliers!$A$5:$I$54,7,FALSE),0)))</f>
        <v/>
      </c>
      <c r="J143" s="8" t="n"/>
      <c r="K143" s="11" t="n"/>
      <c r="L143" s="13">
        <f>IF($A143="","",IF($D143="","",$D143-$J143))</f>
        <v/>
      </c>
      <c r="M143" s="10">
        <f>IF($A143="","",IF(OR($L143="",$E143=""),"",$L143*$E143))</f>
        <v/>
      </c>
      <c r="N143" s="14">
        <f>IF($A143="","",IF($D143="","",IF($J143&gt;=$D143,"Received",IF($J143&gt;0,"Part received","Open"))))</f>
        <v/>
      </c>
      <c r="O143" s="13">
        <f>IF($A143="","",IF($L143="","",IF($L143&lt;=0,"",IF($I143="","",MAX(0,TODAY()-$I143)))))</f>
        <v/>
      </c>
      <c r="P143" s="13">
        <f>IF($A143="","",IFERROR(RIGHT($A143,4)*1,""))</f>
        <v/>
      </c>
      <c r="Q143" s="13">
        <f>IF($A143="","",COUNTIFS($A$5:$A143,$A143))</f>
        <v/>
      </c>
      <c r="R143" s="14">
        <f>IF($A143="","",$A143&amp;"|"&amp;$Q143)</f>
        <v/>
      </c>
      <c r="S143" s="13">
        <f>IF($A143="","",IF($Q143=1,MAX($S$4:$S142)+1,""))</f>
        <v/>
      </c>
      <c r="T143" s="13">
        <f>IF($S143="","",IF(SUMIFS($L$5:$L$204,$A$5:$A$204,$A143)&gt;0,1,0))</f>
        <v/>
      </c>
    </row>
    <row r="144">
      <c r="A144" s="7" t="n"/>
      <c r="B144" s="7" t="n"/>
      <c r="C144" s="7" t="n"/>
      <c r="D144" s="8" t="n"/>
      <c r="E144" s="9" t="n"/>
      <c r="F144" s="10">
        <f>IF($A144="","",IF(OR($D144="",$E144=""),"",$D144*$E144))</f>
        <v/>
      </c>
      <c r="G144" s="7" t="n"/>
      <c r="H144" s="11" t="n"/>
      <c r="I144" s="12">
        <f>IF($A144="","",IF($H144="","",$H144+IFERROR(VLOOKUP($B144,Suppliers!$A$5:$I$54,7,FALSE),0)))</f>
        <v/>
      </c>
      <c r="J144" s="8" t="n"/>
      <c r="K144" s="11" t="n"/>
      <c r="L144" s="13">
        <f>IF($A144="","",IF($D144="","",$D144-$J144))</f>
        <v/>
      </c>
      <c r="M144" s="10">
        <f>IF($A144="","",IF(OR($L144="",$E144=""),"",$L144*$E144))</f>
        <v/>
      </c>
      <c r="N144" s="14">
        <f>IF($A144="","",IF($D144="","",IF($J144&gt;=$D144,"Received",IF($J144&gt;0,"Part received","Open"))))</f>
        <v/>
      </c>
      <c r="O144" s="13">
        <f>IF($A144="","",IF($L144="","",IF($L144&lt;=0,"",IF($I144="","",MAX(0,TODAY()-$I144)))))</f>
        <v/>
      </c>
      <c r="P144" s="13">
        <f>IF($A144="","",IFERROR(RIGHT($A144,4)*1,""))</f>
        <v/>
      </c>
      <c r="Q144" s="13">
        <f>IF($A144="","",COUNTIFS($A$5:$A144,$A144))</f>
        <v/>
      </c>
      <c r="R144" s="14">
        <f>IF($A144="","",$A144&amp;"|"&amp;$Q144)</f>
        <v/>
      </c>
      <c r="S144" s="13">
        <f>IF($A144="","",IF($Q144=1,MAX($S$4:$S143)+1,""))</f>
        <v/>
      </c>
      <c r="T144" s="13">
        <f>IF($S144="","",IF(SUMIFS($L$5:$L$204,$A$5:$A$204,$A144)&gt;0,1,0))</f>
        <v/>
      </c>
    </row>
    <row r="145">
      <c r="A145" s="7" t="n"/>
      <c r="B145" s="7" t="n"/>
      <c r="C145" s="7" t="n"/>
      <c r="D145" s="8" t="n"/>
      <c r="E145" s="9" t="n"/>
      <c r="F145" s="10">
        <f>IF($A145="","",IF(OR($D145="",$E145=""),"",$D145*$E145))</f>
        <v/>
      </c>
      <c r="G145" s="7" t="n"/>
      <c r="H145" s="11" t="n"/>
      <c r="I145" s="12">
        <f>IF($A145="","",IF($H145="","",$H145+IFERROR(VLOOKUP($B145,Suppliers!$A$5:$I$54,7,FALSE),0)))</f>
        <v/>
      </c>
      <c r="J145" s="8" t="n"/>
      <c r="K145" s="11" t="n"/>
      <c r="L145" s="13">
        <f>IF($A145="","",IF($D145="","",$D145-$J145))</f>
        <v/>
      </c>
      <c r="M145" s="10">
        <f>IF($A145="","",IF(OR($L145="",$E145=""),"",$L145*$E145))</f>
        <v/>
      </c>
      <c r="N145" s="14">
        <f>IF($A145="","",IF($D145="","",IF($J145&gt;=$D145,"Received",IF($J145&gt;0,"Part received","Open"))))</f>
        <v/>
      </c>
      <c r="O145" s="13">
        <f>IF($A145="","",IF($L145="","",IF($L145&lt;=0,"",IF($I145="","",MAX(0,TODAY()-$I145)))))</f>
        <v/>
      </c>
      <c r="P145" s="13">
        <f>IF($A145="","",IFERROR(RIGHT($A145,4)*1,""))</f>
        <v/>
      </c>
      <c r="Q145" s="13">
        <f>IF($A145="","",COUNTIFS($A$5:$A145,$A145))</f>
        <v/>
      </c>
      <c r="R145" s="14">
        <f>IF($A145="","",$A145&amp;"|"&amp;$Q145)</f>
        <v/>
      </c>
      <c r="S145" s="13">
        <f>IF($A145="","",IF($Q145=1,MAX($S$4:$S144)+1,""))</f>
        <v/>
      </c>
      <c r="T145" s="13">
        <f>IF($S145="","",IF(SUMIFS($L$5:$L$204,$A$5:$A$204,$A145)&gt;0,1,0))</f>
        <v/>
      </c>
    </row>
    <row r="146">
      <c r="A146" s="7" t="n"/>
      <c r="B146" s="7" t="n"/>
      <c r="C146" s="7" t="n"/>
      <c r="D146" s="8" t="n"/>
      <c r="E146" s="9" t="n"/>
      <c r="F146" s="10">
        <f>IF($A146="","",IF(OR($D146="",$E146=""),"",$D146*$E146))</f>
        <v/>
      </c>
      <c r="G146" s="7" t="n"/>
      <c r="H146" s="11" t="n"/>
      <c r="I146" s="12">
        <f>IF($A146="","",IF($H146="","",$H146+IFERROR(VLOOKUP($B146,Suppliers!$A$5:$I$54,7,FALSE),0)))</f>
        <v/>
      </c>
      <c r="J146" s="8" t="n"/>
      <c r="K146" s="11" t="n"/>
      <c r="L146" s="13">
        <f>IF($A146="","",IF($D146="","",$D146-$J146))</f>
        <v/>
      </c>
      <c r="M146" s="10">
        <f>IF($A146="","",IF(OR($L146="",$E146=""),"",$L146*$E146))</f>
        <v/>
      </c>
      <c r="N146" s="14">
        <f>IF($A146="","",IF($D146="","",IF($J146&gt;=$D146,"Received",IF($J146&gt;0,"Part received","Open"))))</f>
        <v/>
      </c>
      <c r="O146" s="13">
        <f>IF($A146="","",IF($L146="","",IF($L146&lt;=0,"",IF($I146="","",MAX(0,TODAY()-$I146)))))</f>
        <v/>
      </c>
      <c r="P146" s="13">
        <f>IF($A146="","",IFERROR(RIGHT($A146,4)*1,""))</f>
        <v/>
      </c>
      <c r="Q146" s="13">
        <f>IF($A146="","",COUNTIFS($A$5:$A146,$A146))</f>
        <v/>
      </c>
      <c r="R146" s="14">
        <f>IF($A146="","",$A146&amp;"|"&amp;$Q146)</f>
        <v/>
      </c>
      <c r="S146" s="13">
        <f>IF($A146="","",IF($Q146=1,MAX($S$4:$S145)+1,""))</f>
        <v/>
      </c>
      <c r="T146" s="13">
        <f>IF($S146="","",IF(SUMIFS($L$5:$L$204,$A$5:$A$204,$A146)&gt;0,1,0))</f>
        <v/>
      </c>
    </row>
    <row r="147">
      <c r="A147" s="7" t="n"/>
      <c r="B147" s="7" t="n"/>
      <c r="C147" s="7" t="n"/>
      <c r="D147" s="8" t="n"/>
      <c r="E147" s="9" t="n"/>
      <c r="F147" s="10">
        <f>IF($A147="","",IF(OR($D147="",$E147=""),"",$D147*$E147))</f>
        <v/>
      </c>
      <c r="G147" s="7" t="n"/>
      <c r="H147" s="11" t="n"/>
      <c r="I147" s="12">
        <f>IF($A147="","",IF($H147="","",$H147+IFERROR(VLOOKUP($B147,Suppliers!$A$5:$I$54,7,FALSE),0)))</f>
        <v/>
      </c>
      <c r="J147" s="8" t="n"/>
      <c r="K147" s="11" t="n"/>
      <c r="L147" s="13">
        <f>IF($A147="","",IF($D147="","",$D147-$J147))</f>
        <v/>
      </c>
      <c r="M147" s="10">
        <f>IF($A147="","",IF(OR($L147="",$E147=""),"",$L147*$E147))</f>
        <v/>
      </c>
      <c r="N147" s="14">
        <f>IF($A147="","",IF($D147="","",IF($J147&gt;=$D147,"Received",IF($J147&gt;0,"Part received","Open"))))</f>
        <v/>
      </c>
      <c r="O147" s="13">
        <f>IF($A147="","",IF($L147="","",IF($L147&lt;=0,"",IF($I147="","",MAX(0,TODAY()-$I147)))))</f>
        <v/>
      </c>
      <c r="P147" s="13">
        <f>IF($A147="","",IFERROR(RIGHT($A147,4)*1,""))</f>
        <v/>
      </c>
      <c r="Q147" s="13">
        <f>IF($A147="","",COUNTIFS($A$5:$A147,$A147))</f>
        <v/>
      </c>
      <c r="R147" s="14">
        <f>IF($A147="","",$A147&amp;"|"&amp;$Q147)</f>
        <v/>
      </c>
      <c r="S147" s="13">
        <f>IF($A147="","",IF($Q147=1,MAX($S$4:$S146)+1,""))</f>
        <v/>
      </c>
      <c r="T147" s="13">
        <f>IF($S147="","",IF(SUMIFS($L$5:$L$204,$A$5:$A$204,$A147)&gt;0,1,0))</f>
        <v/>
      </c>
    </row>
    <row r="148">
      <c r="A148" s="7" t="n"/>
      <c r="B148" s="7" t="n"/>
      <c r="C148" s="7" t="n"/>
      <c r="D148" s="8" t="n"/>
      <c r="E148" s="9" t="n"/>
      <c r="F148" s="10">
        <f>IF($A148="","",IF(OR($D148="",$E148=""),"",$D148*$E148))</f>
        <v/>
      </c>
      <c r="G148" s="7" t="n"/>
      <c r="H148" s="11" t="n"/>
      <c r="I148" s="12">
        <f>IF($A148="","",IF($H148="","",$H148+IFERROR(VLOOKUP($B148,Suppliers!$A$5:$I$54,7,FALSE),0)))</f>
        <v/>
      </c>
      <c r="J148" s="8" t="n"/>
      <c r="K148" s="11" t="n"/>
      <c r="L148" s="13">
        <f>IF($A148="","",IF($D148="","",$D148-$J148))</f>
        <v/>
      </c>
      <c r="M148" s="10">
        <f>IF($A148="","",IF(OR($L148="",$E148=""),"",$L148*$E148))</f>
        <v/>
      </c>
      <c r="N148" s="14">
        <f>IF($A148="","",IF($D148="","",IF($J148&gt;=$D148,"Received",IF($J148&gt;0,"Part received","Open"))))</f>
        <v/>
      </c>
      <c r="O148" s="13">
        <f>IF($A148="","",IF($L148="","",IF($L148&lt;=0,"",IF($I148="","",MAX(0,TODAY()-$I148)))))</f>
        <v/>
      </c>
      <c r="P148" s="13">
        <f>IF($A148="","",IFERROR(RIGHT($A148,4)*1,""))</f>
        <v/>
      </c>
      <c r="Q148" s="13">
        <f>IF($A148="","",COUNTIFS($A$5:$A148,$A148))</f>
        <v/>
      </c>
      <c r="R148" s="14">
        <f>IF($A148="","",$A148&amp;"|"&amp;$Q148)</f>
        <v/>
      </c>
      <c r="S148" s="13">
        <f>IF($A148="","",IF($Q148=1,MAX($S$4:$S147)+1,""))</f>
        <v/>
      </c>
      <c r="T148" s="13">
        <f>IF($S148="","",IF(SUMIFS($L$5:$L$204,$A$5:$A$204,$A148)&gt;0,1,0))</f>
        <v/>
      </c>
    </row>
    <row r="149">
      <c r="A149" s="7" t="n"/>
      <c r="B149" s="7" t="n"/>
      <c r="C149" s="7" t="n"/>
      <c r="D149" s="8" t="n"/>
      <c r="E149" s="9" t="n"/>
      <c r="F149" s="10">
        <f>IF($A149="","",IF(OR($D149="",$E149=""),"",$D149*$E149))</f>
        <v/>
      </c>
      <c r="G149" s="7" t="n"/>
      <c r="H149" s="11" t="n"/>
      <c r="I149" s="12">
        <f>IF($A149="","",IF($H149="","",$H149+IFERROR(VLOOKUP($B149,Suppliers!$A$5:$I$54,7,FALSE),0)))</f>
        <v/>
      </c>
      <c r="J149" s="8" t="n"/>
      <c r="K149" s="11" t="n"/>
      <c r="L149" s="13">
        <f>IF($A149="","",IF($D149="","",$D149-$J149))</f>
        <v/>
      </c>
      <c r="M149" s="10">
        <f>IF($A149="","",IF(OR($L149="",$E149=""),"",$L149*$E149))</f>
        <v/>
      </c>
      <c r="N149" s="14">
        <f>IF($A149="","",IF($D149="","",IF($J149&gt;=$D149,"Received",IF($J149&gt;0,"Part received","Open"))))</f>
        <v/>
      </c>
      <c r="O149" s="13">
        <f>IF($A149="","",IF($L149="","",IF($L149&lt;=0,"",IF($I149="","",MAX(0,TODAY()-$I149)))))</f>
        <v/>
      </c>
      <c r="P149" s="13">
        <f>IF($A149="","",IFERROR(RIGHT($A149,4)*1,""))</f>
        <v/>
      </c>
      <c r="Q149" s="13">
        <f>IF($A149="","",COUNTIFS($A$5:$A149,$A149))</f>
        <v/>
      </c>
      <c r="R149" s="14">
        <f>IF($A149="","",$A149&amp;"|"&amp;$Q149)</f>
        <v/>
      </c>
      <c r="S149" s="13">
        <f>IF($A149="","",IF($Q149=1,MAX($S$4:$S148)+1,""))</f>
        <v/>
      </c>
      <c r="T149" s="13">
        <f>IF($S149="","",IF(SUMIFS($L$5:$L$204,$A$5:$A$204,$A149)&gt;0,1,0))</f>
        <v/>
      </c>
    </row>
    <row r="150">
      <c r="A150" s="7" t="n"/>
      <c r="B150" s="7" t="n"/>
      <c r="C150" s="7" t="n"/>
      <c r="D150" s="8" t="n"/>
      <c r="E150" s="9" t="n"/>
      <c r="F150" s="10">
        <f>IF($A150="","",IF(OR($D150="",$E150=""),"",$D150*$E150))</f>
        <v/>
      </c>
      <c r="G150" s="7" t="n"/>
      <c r="H150" s="11" t="n"/>
      <c r="I150" s="12">
        <f>IF($A150="","",IF($H150="","",$H150+IFERROR(VLOOKUP($B150,Suppliers!$A$5:$I$54,7,FALSE),0)))</f>
        <v/>
      </c>
      <c r="J150" s="8" t="n"/>
      <c r="K150" s="11" t="n"/>
      <c r="L150" s="13">
        <f>IF($A150="","",IF($D150="","",$D150-$J150))</f>
        <v/>
      </c>
      <c r="M150" s="10">
        <f>IF($A150="","",IF(OR($L150="",$E150=""),"",$L150*$E150))</f>
        <v/>
      </c>
      <c r="N150" s="14">
        <f>IF($A150="","",IF($D150="","",IF($J150&gt;=$D150,"Received",IF($J150&gt;0,"Part received","Open"))))</f>
        <v/>
      </c>
      <c r="O150" s="13">
        <f>IF($A150="","",IF($L150="","",IF($L150&lt;=0,"",IF($I150="","",MAX(0,TODAY()-$I150)))))</f>
        <v/>
      </c>
      <c r="P150" s="13">
        <f>IF($A150="","",IFERROR(RIGHT($A150,4)*1,""))</f>
        <v/>
      </c>
      <c r="Q150" s="13">
        <f>IF($A150="","",COUNTIFS($A$5:$A150,$A150))</f>
        <v/>
      </c>
      <c r="R150" s="14">
        <f>IF($A150="","",$A150&amp;"|"&amp;$Q150)</f>
        <v/>
      </c>
      <c r="S150" s="13">
        <f>IF($A150="","",IF($Q150=1,MAX($S$4:$S149)+1,""))</f>
        <v/>
      </c>
      <c r="T150" s="13">
        <f>IF($S150="","",IF(SUMIFS($L$5:$L$204,$A$5:$A$204,$A150)&gt;0,1,0))</f>
        <v/>
      </c>
    </row>
    <row r="151">
      <c r="A151" s="7" t="n"/>
      <c r="B151" s="7" t="n"/>
      <c r="C151" s="7" t="n"/>
      <c r="D151" s="8" t="n"/>
      <c r="E151" s="9" t="n"/>
      <c r="F151" s="10">
        <f>IF($A151="","",IF(OR($D151="",$E151=""),"",$D151*$E151))</f>
        <v/>
      </c>
      <c r="G151" s="7" t="n"/>
      <c r="H151" s="11" t="n"/>
      <c r="I151" s="12">
        <f>IF($A151="","",IF($H151="","",$H151+IFERROR(VLOOKUP($B151,Suppliers!$A$5:$I$54,7,FALSE),0)))</f>
        <v/>
      </c>
      <c r="J151" s="8" t="n"/>
      <c r="K151" s="11" t="n"/>
      <c r="L151" s="13">
        <f>IF($A151="","",IF($D151="","",$D151-$J151))</f>
        <v/>
      </c>
      <c r="M151" s="10">
        <f>IF($A151="","",IF(OR($L151="",$E151=""),"",$L151*$E151))</f>
        <v/>
      </c>
      <c r="N151" s="14">
        <f>IF($A151="","",IF($D151="","",IF($J151&gt;=$D151,"Received",IF($J151&gt;0,"Part received","Open"))))</f>
        <v/>
      </c>
      <c r="O151" s="13">
        <f>IF($A151="","",IF($L151="","",IF($L151&lt;=0,"",IF($I151="","",MAX(0,TODAY()-$I151)))))</f>
        <v/>
      </c>
      <c r="P151" s="13">
        <f>IF($A151="","",IFERROR(RIGHT($A151,4)*1,""))</f>
        <v/>
      </c>
      <c r="Q151" s="13">
        <f>IF($A151="","",COUNTIFS($A$5:$A151,$A151))</f>
        <v/>
      </c>
      <c r="R151" s="14">
        <f>IF($A151="","",$A151&amp;"|"&amp;$Q151)</f>
        <v/>
      </c>
      <c r="S151" s="13">
        <f>IF($A151="","",IF($Q151=1,MAX($S$4:$S150)+1,""))</f>
        <v/>
      </c>
      <c r="T151" s="13">
        <f>IF($S151="","",IF(SUMIFS($L$5:$L$204,$A$5:$A$204,$A151)&gt;0,1,0))</f>
        <v/>
      </c>
    </row>
    <row r="152">
      <c r="A152" s="7" t="n"/>
      <c r="B152" s="7" t="n"/>
      <c r="C152" s="7" t="n"/>
      <c r="D152" s="8" t="n"/>
      <c r="E152" s="9" t="n"/>
      <c r="F152" s="10">
        <f>IF($A152="","",IF(OR($D152="",$E152=""),"",$D152*$E152))</f>
        <v/>
      </c>
      <c r="G152" s="7" t="n"/>
      <c r="H152" s="11" t="n"/>
      <c r="I152" s="12">
        <f>IF($A152="","",IF($H152="","",$H152+IFERROR(VLOOKUP($B152,Suppliers!$A$5:$I$54,7,FALSE),0)))</f>
        <v/>
      </c>
      <c r="J152" s="8" t="n"/>
      <c r="K152" s="11" t="n"/>
      <c r="L152" s="13">
        <f>IF($A152="","",IF($D152="","",$D152-$J152))</f>
        <v/>
      </c>
      <c r="M152" s="10">
        <f>IF($A152="","",IF(OR($L152="",$E152=""),"",$L152*$E152))</f>
        <v/>
      </c>
      <c r="N152" s="14">
        <f>IF($A152="","",IF($D152="","",IF($J152&gt;=$D152,"Received",IF($J152&gt;0,"Part received","Open"))))</f>
        <v/>
      </c>
      <c r="O152" s="13">
        <f>IF($A152="","",IF($L152="","",IF($L152&lt;=0,"",IF($I152="","",MAX(0,TODAY()-$I152)))))</f>
        <v/>
      </c>
      <c r="P152" s="13">
        <f>IF($A152="","",IFERROR(RIGHT($A152,4)*1,""))</f>
        <v/>
      </c>
      <c r="Q152" s="13">
        <f>IF($A152="","",COUNTIFS($A$5:$A152,$A152))</f>
        <v/>
      </c>
      <c r="R152" s="14">
        <f>IF($A152="","",$A152&amp;"|"&amp;$Q152)</f>
        <v/>
      </c>
      <c r="S152" s="13">
        <f>IF($A152="","",IF($Q152=1,MAX($S$4:$S151)+1,""))</f>
        <v/>
      </c>
      <c r="T152" s="13">
        <f>IF($S152="","",IF(SUMIFS($L$5:$L$204,$A$5:$A$204,$A152)&gt;0,1,0))</f>
        <v/>
      </c>
    </row>
    <row r="153">
      <c r="A153" s="7" t="n"/>
      <c r="B153" s="7" t="n"/>
      <c r="C153" s="7" t="n"/>
      <c r="D153" s="8" t="n"/>
      <c r="E153" s="9" t="n"/>
      <c r="F153" s="10">
        <f>IF($A153="","",IF(OR($D153="",$E153=""),"",$D153*$E153))</f>
        <v/>
      </c>
      <c r="G153" s="7" t="n"/>
      <c r="H153" s="11" t="n"/>
      <c r="I153" s="12">
        <f>IF($A153="","",IF($H153="","",$H153+IFERROR(VLOOKUP($B153,Suppliers!$A$5:$I$54,7,FALSE),0)))</f>
        <v/>
      </c>
      <c r="J153" s="8" t="n"/>
      <c r="K153" s="11" t="n"/>
      <c r="L153" s="13">
        <f>IF($A153="","",IF($D153="","",$D153-$J153))</f>
        <v/>
      </c>
      <c r="M153" s="10">
        <f>IF($A153="","",IF(OR($L153="",$E153=""),"",$L153*$E153))</f>
        <v/>
      </c>
      <c r="N153" s="14">
        <f>IF($A153="","",IF($D153="","",IF($J153&gt;=$D153,"Received",IF($J153&gt;0,"Part received","Open"))))</f>
        <v/>
      </c>
      <c r="O153" s="13">
        <f>IF($A153="","",IF($L153="","",IF($L153&lt;=0,"",IF($I153="","",MAX(0,TODAY()-$I153)))))</f>
        <v/>
      </c>
      <c r="P153" s="13">
        <f>IF($A153="","",IFERROR(RIGHT($A153,4)*1,""))</f>
        <v/>
      </c>
      <c r="Q153" s="13">
        <f>IF($A153="","",COUNTIFS($A$5:$A153,$A153))</f>
        <v/>
      </c>
      <c r="R153" s="14">
        <f>IF($A153="","",$A153&amp;"|"&amp;$Q153)</f>
        <v/>
      </c>
      <c r="S153" s="13">
        <f>IF($A153="","",IF($Q153=1,MAX($S$4:$S152)+1,""))</f>
        <v/>
      </c>
      <c r="T153" s="13">
        <f>IF($S153="","",IF(SUMIFS($L$5:$L$204,$A$5:$A$204,$A153)&gt;0,1,0))</f>
        <v/>
      </c>
    </row>
    <row r="154">
      <c r="A154" s="7" t="n"/>
      <c r="B154" s="7" t="n"/>
      <c r="C154" s="7" t="n"/>
      <c r="D154" s="8" t="n"/>
      <c r="E154" s="9" t="n"/>
      <c r="F154" s="10">
        <f>IF($A154="","",IF(OR($D154="",$E154=""),"",$D154*$E154))</f>
        <v/>
      </c>
      <c r="G154" s="7" t="n"/>
      <c r="H154" s="11" t="n"/>
      <c r="I154" s="12">
        <f>IF($A154="","",IF($H154="","",$H154+IFERROR(VLOOKUP($B154,Suppliers!$A$5:$I$54,7,FALSE),0)))</f>
        <v/>
      </c>
      <c r="J154" s="8" t="n"/>
      <c r="K154" s="11" t="n"/>
      <c r="L154" s="13">
        <f>IF($A154="","",IF($D154="","",$D154-$J154))</f>
        <v/>
      </c>
      <c r="M154" s="10">
        <f>IF($A154="","",IF(OR($L154="",$E154=""),"",$L154*$E154))</f>
        <v/>
      </c>
      <c r="N154" s="14">
        <f>IF($A154="","",IF($D154="","",IF($J154&gt;=$D154,"Received",IF($J154&gt;0,"Part received","Open"))))</f>
        <v/>
      </c>
      <c r="O154" s="13">
        <f>IF($A154="","",IF($L154="","",IF($L154&lt;=0,"",IF($I154="","",MAX(0,TODAY()-$I154)))))</f>
        <v/>
      </c>
      <c r="P154" s="13">
        <f>IF($A154="","",IFERROR(RIGHT($A154,4)*1,""))</f>
        <v/>
      </c>
      <c r="Q154" s="13">
        <f>IF($A154="","",COUNTIFS($A$5:$A154,$A154))</f>
        <v/>
      </c>
      <c r="R154" s="14">
        <f>IF($A154="","",$A154&amp;"|"&amp;$Q154)</f>
        <v/>
      </c>
      <c r="S154" s="13">
        <f>IF($A154="","",IF($Q154=1,MAX($S$4:$S153)+1,""))</f>
        <v/>
      </c>
      <c r="T154" s="13">
        <f>IF($S154="","",IF(SUMIFS($L$5:$L$204,$A$5:$A$204,$A154)&gt;0,1,0))</f>
        <v/>
      </c>
    </row>
    <row r="155">
      <c r="A155" s="7" t="n"/>
      <c r="B155" s="7" t="n"/>
      <c r="C155" s="7" t="n"/>
      <c r="D155" s="8" t="n"/>
      <c r="E155" s="9" t="n"/>
      <c r="F155" s="10">
        <f>IF($A155="","",IF(OR($D155="",$E155=""),"",$D155*$E155))</f>
        <v/>
      </c>
      <c r="G155" s="7" t="n"/>
      <c r="H155" s="11" t="n"/>
      <c r="I155" s="12">
        <f>IF($A155="","",IF($H155="","",$H155+IFERROR(VLOOKUP($B155,Suppliers!$A$5:$I$54,7,FALSE),0)))</f>
        <v/>
      </c>
      <c r="J155" s="8" t="n"/>
      <c r="K155" s="11" t="n"/>
      <c r="L155" s="13">
        <f>IF($A155="","",IF($D155="","",$D155-$J155))</f>
        <v/>
      </c>
      <c r="M155" s="10">
        <f>IF($A155="","",IF(OR($L155="",$E155=""),"",$L155*$E155))</f>
        <v/>
      </c>
      <c r="N155" s="14">
        <f>IF($A155="","",IF($D155="","",IF($J155&gt;=$D155,"Received",IF($J155&gt;0,"Part received","Open"))))</f>
        <v/>
      </c>
      <c r="O155" s="13">
        <f>IF($A155="","",IF($L155="","",IF($L155&lt;=0,"",IF($I155="","",MAX(0,TODAY()-$I155)))))</f>
        <v/>
      </c>
      <c r="P155" s="13">
        <f>IF($A155="","",IFERROR(RIGHT($A155,4)*1,""))</f>
        <v/>
      </c>
      <c r="Q155" s="13">
        <f>IF($A155="","",COUNTIFS($A$5:$A155,$A155))</f>
        <v/>
      </c>
      <c r="R155" s="14">
        <f>IF($A155="","",$A155&amp;"|"&amp;$Q155)</f>
        <v/>
      </c>
      <c r="S155" s="13">
        <f>IF($A155="","",IF($Q155=1,MAX($S$4:$S154)+1,""))</f>
        <v/>
      </c>
      <c r="T155" s="13">
        <f>IF($S155="","",IF(SUMIFS($L$5:$L$204,$A$5:$A$204,$A155)&gt;0,1,0))</f>
        <v/>
      </c>
    </row>
    <row r="156">
      <c r="A156" s="7" t="n"/>
      <c r="B156" s="7" t="n"/>
      <c r="C156" s="7" t="n"/>
      <c r="D156" s="8" t="n"/>
      <c r="E156" s="9" t="n"/>
      <c r="F156" s="10">
        <f>IF($A156="","",IF(OR($D156="",$E156=""),"",$D156*$E156))</f>
        <v/>
      </c>
      <c r="G156" s="7" t="n"/>
      <c r="H156" s="11" t="n"/>
      <c r="I156" s="12">
        <f>IF($A156="","",IF($H156="","",$H156+IFERROR(VLOOKUP($B156,Suppliers!$A$5:$I$54,7,FALSE),0)))</f>
        <v/>
      </c>
      <c r="J156" s="8" t="n"/>
      <c r="K156" s="11" t="n"/>
      <c r="L156" s="13">
        <f>IF($A156="","",IF($D156="","",$D156-$J156))</f>
        <v/>
      </c>
      <c r="M156" s="10">
        <f>IF($A156="","",IF(OR($L156="",$E156=""),"",$L156*$E156))</f>
        <v/>
      </c>
      <c r="N156" s="14">
        <f>IF($A156="","",IF($D156="","",IF($J156&gt;=$D156,"Received",IF($J156&gt;0,"Part received","Open"))))</f>
        <v/>
      </c>
      <c r="O156" s="13">
        <f>IF($A156="","",IF($L156="","",IF($L156&lt;=0,"",IF($I156="","",MAX(0,TODAY()-$I156)))))</f>
        <v/>
      </c>
      <c r="P156" s="13">
        <f>IF($A156="","",IFERROR(RIGHT($A156,4)*1,""))</f>
        <v/>
      </c>
      <c r="Q156" s="13">
        <f>IF($A156="","",COUNTIFS($A$5:$A156,$A156))</f>
        <v/>
      </c>
      <c r="R156" s="14">
        <f>IF($A156="","",$A156&amp;"|"&amp;$Q156)</f>
        <v/>
      </c>
      <c r="S156" s="13">
        <f>IF($A156="","",IF($Q156=1,MAX($S$4:$S155)+1,""))</f>
        <v/>
      </c>
      <c r="T156" s="13">
        <f>IF($S156="","",IF(SUMIFS($L$5:$L$204,$A$5:$A$204,$A156)&gt;0,1,0))</f>
        <v/>
      </c>
    </row>
    <row r="157">
      <c r="A157" s="7" t="n"/>
      <c r="B157" s="7" t="n"/>
      <c r="C157" s="7" t="n"/>
      <c r="D157" s="8" t="n"/>
      <c r="E157" s="9" t="n"/>
      <c r="F157" s="10">
        <f>IF($A157="","",IF(OR($D157="",$E157=""),"",$D157*$E157))</f>
        <v/>
      </c>
      <c r="G157" s="7" t="n"/>
      <c r="H157" s="11" t="n"/>
      <c r="I157" s="12">
        <f>IF($A157="","",IF($H157="","",$H157+IFERROR(VLOOKUP($B157,Suppliers!$A$5:$I$54,7,FALSE),0)))</f>
        <v/>
      </c>
      <c r="J157" s="8" t="n"/>
      <c r="K157" s="11" t="n"/>
      <c r="L157" s="13">
        <f>IF($A157="","",IF($D157="","",$D157-$J157))</f>
        <v/>
      </c>
      <c r="M157" s="10">
        <f>IF($A157="","",IF(OR($L157="",$E157=""),"",$L157*$E157))</f>
        <v/>
      </c>
      <c r="N157" s="14">
        <f>IF($A157="","",IF($D157="","",IF($J157&gt;=$D157,"Received",IF($J157&gt;0,"Part received","Open"))))</f>
        <v/>
      </c>
      <c r="O157" s="13">
        <f>IF($A157="","",IF($L157="","",IF($L157&lt;=0,"",IF($I157="","",MAX(0,TODAY()-$I157)))))</f>
        <v/>
      </c>
      <c r="P157" s="13">
        <f>IF($A157="","",IFERROR(RIGHT($A157,4)*1,""))</f>
        <v/>
      </c>
      <c r="Q157" s="13">
        <f>IF($A157="","",COUNTIFS($A$5:$A157,$A157))</f>
        <v/>
      </c>
      <c r="R157" s="14">
        <f>IF($A157="","",$A157&amp;"|"&amp;$Q157)</f>
        <v/>
      </c>
      <c r="S157" s="13">
        <f>IF($A157="","",IF($Q157=1,MAX($S$4:$S156)+1,""))</f>
        <v/>
      </c>
      <c r="T157" s="13">
        <f>IF($S157="","",IF(SUMIFS($L$5:$L$204,$A$5:$A$204,$A157)&gt;0,1,0))</f>
        <v/>
      </c>
    </row>
    <row r="158">
      <c r="A158" s="7" t="n"/>
      <c r="B158" s="7" t="n"/>
      <c r="C158" s="7" t="n"/>
      <c r="D158" s="8" t="n"/>
      <c r="E158" s="9" t="n"/>
      <c r="F158" s="10">
        <f>IF($A158="","",IF(OR($D158="",$E158=""),"",$D158*$E158))</f>
        <v/>
      </c>
      <c r="G158" s="7" t="n"/>
      <c r="H158" s="11" t="n"/>
      <c r="I158" s="12">
        <f>IF($A158="","",IF($H158="","",$H158+IFERROR(VLOOKUP($B158,Suppliers!$A$5:$I$54,7,FALSE),0)))</f>
        <v/>
      </c>
      <c r="J158" s="8" t="n"/>
      <c r="K158" s="11" t="n"/>
      <c r="L158" s="13">
        <f>IF($A158="","",IF($D158="","",$D158-$J158))</f>
        <v/>
      </c>
      <c r="M158" s="10">
        <f>IF($A158="","",IF(OR($L158="",$E158=""),"",$L158*$E158))</f>
        <v/>
      </c>
      <c r="N158" s="14">
        <f>IF($A158="","",IF($D158="","",IF($J158&gt;=$D158,"Received",IF($J158&gt;0,"Part received","Open"))))</f>
        <v/>
      </c>
      <c r="O158" s="13">
        <f>IF($A158="","",IF($L158="","",IF($L158&lt;=0,"",IF($I158="","",MAX(0,TODAY()-$I158)))))</f>
        <v/>
      </c>
      <c r="P158" s="13">
        <f>IF($A158="","",IFERROR(RIGHT($A158,4)*1,""))</f>
        <v/>
      </c>
      <c r="Q158" s="13">
        <f>IF($A158="","",COUNTIFS($A$5:$A158,$A158))</f>
        <v/>
      </c>
      <c r="R158" s="14">
        <f>IF($A158="","",$A158&amp;"|"&amp;$Q158)</f>
        <v/>
      </c>
      <c r="S158" s="13">
        <f>IF($A158="","",IF($Q158=1,MAX($S$4:$S157)+1,""))</f>
        <v/>
      </c>
      <c r="T158" s="13">
        <f>IF($S158="","",IF(SUMIFS($L$5:$L$204,$A$5:$A$204,$A158)&gt;0,1,0))</f>
        <v/>
      </c>
    </row>
    <row r="159">
      <c r="A159" s="7" t="n"/>
      <c r="B159" s="7" t="n"/>
      <c r="C159" s="7" t="n"/>
      <c r="D159" s="8" t="n"/>
      <c r="E159" s="9" t="n"/>
      <c r="F159" s="10">
        <f>IF($A159="","",IF(OR($D159="",$E159=""),"",$D159*$E159))</f>
        <v/>
      </c>
      <c r="G159" s="7" t="n"/>
      <c r="H159" s="11" t="n"/>
      <c r="I159" s="12">
        <f>IF($A159="","",IF($H159="","",$H159+IFERROR(VLOOKUP($B159,Suppliers!$A$5:$I$54,7,FALSE),0)))</f>
        <v/>
      </c>
      <c r="J159" s="8" t="n"/>
      <c r="K159" s="11" t="n"/>
      <c r="L159" s="13">
        <f>IF($A159="","",IF($D159="","",$D159-$J159))</f>
        <v/>
      </c>
      <c r="M159" s="10">
        <f>IF($A159="","",IF(OR($L159="",$E159=""),"",$L159*$E159))</f>
        <v/>
      </c>
      <c r="N159" s="14">
        <f>IF($A159="","",IF($D159="","",IF($J159&gt;=$D159,"Received",IF($J159&gt;0,"Part received","Open"))))</f>
        <v/>
      </c>
      <c r="O159" s="13">
        <f>IF($A159="","",IF($L159="","",IF($L159&lt;=0,"",IF($I159="","",MAX(0,TODAY()-$I159)))))</f>
        <v/>
      </c>
      <c r="P159" s="13">
        <f>IF($A159="","",IFERROR(RIGHT($A159,4)*1,""))</f>
        <v/>
      </c>
      <c r="Q159" s="13">
        <f>IF($A159="","",COUNTIFS($A$5:$A159,$A159))</f>
        <v/>
      </c>
      <c r="R159" s="14">
        <f>IF($A159="","",$A159&amp;"|"&amp;$Q159)</f>
        <v/>
      </c>
      <c r="S159" s="13">
        <f>IF($A159="","",IF($Q159=1,MAX($S$4:$S158)+1,""))</f>
        <v/>
      </c>
      <c r="T159" s="13">
        <f>IF($S159="","",IF(SUMIFS($L$5:$L$204,$A$5:$A$204,$A159)&gt;0,1,0))</f>
        <v/>
      </c>
    </row>
    <row r="160">
      <c r="A160" s="7" t="n"/>
      <c r="B160" s="7" t="n"/>
      <c r="C160" s="7" t="n"/>
      <c r="D160" s="8" t="n"/>
      <c r="E160" s="9" t="n"/>
      <c r="F160" s="10">
        <f>IF($A160="","",IF(OR($D160="",$E160=""),"",$D160*$E160))</f>
        <v/>
      </c>
      <c r="G160" s="7" t="n"/>
      <c r="H160" s="11" t="n"/>
      <c r="I160" s="12">
        <f>IF($A160="","",IF($H160="","",$H160+IFERROR(VLOOKUP($B160,Suppliers!$A$5:$I$54,7,FALSE),0)))</f>
        <v/>
      </c>
      <c r="J160" s="8" t="n"/>
      <c r="K160" s="11" t="n"/>
      <c r="L160" s="13">
        <f>IF($A160="","",IF($D160="","",$D160-$J160))</f>
        <v/>
      </c>
      <c r="M160" s="10">
        <f>IF($A160="","",IF(OR($L160="",$E160=""),"",$L160*$E160))</f>
        <v/>
      </c>
      <c r="N160" s="14">
        <f>IF($A160="","",IF($D160="","",IF($J160&gt;=$D160,"Received",IF($J160&gt;0,"Part received","Open"))))</f>
        <v/>
      </c>
      <c r="O160" s="13">
        <f>IF($A160="","",IF($L160="","",IF($L160&lt;=0,"",IF($I160="","",MAX(0,TODAY()-$I160)))))</f>
        <v/>
      </c>
      <c r="P160" s="13">
        <f>IF($A160="","",IFERROR(RIGHT($A160,4)*1,""))</f>
        <v/>
      </c>
      <c r="Q160" s="13">
        <f>IF($A160="","",COUNTIFS($A$5:$A160,$A160))</f>
        <v/>
      </c>
      <c r="R160" s="14">
        <f>IF($A160="","",$A160&amp;"|"&amp;$Q160)</f>
        <v/>
      </c>
      <c r="S160" s="13">
        <f>IF($A160="","",IF($Q160=1,MAX($S$4:$S159)+1,""))</f>
        <v/>
      </c>
      <c r="T160" s="13">
        <f>IF($S160="","",IF(SUMIFS($L$5:$L$204,$A$5:$A$204,$A160)&gt;0,1,0))</f>
        <v/>
      </c>
    </row>
    <row r="161">
      <c r="A161" s="7" t="n"/>
      <c r="B161" s="7" t="n"/>
      <c r="C161" s="7" t="n"/>
      <c r="D161" s="8" t="n"/>
      <c r="E161" s="9" t="n"/>
      <c r="F161" s="10">
        <f>IF($A161="","",IF(OR($D161="",$E161=""),"",$D161*$E161))</f>
        <v/>
      </c>
      <c r="G161" s="7" t="n"/>
      <c r="H161" s="11" t="n"/>
      <c r="I161" s="12">
        <f>IF($A161="","",IF($H161="","",$H161+IFERROR(VLOOKUP($B161,Suppliers!$A$5:$I$54,7,FALSE),0)))</f>
        <v/>
      </c>
      <c r="J161" s="8" t="n"/>
      <c r="K161" s="11" t="n"/>
      <c r="L161" s="13">
        <f>IF($A161="","",IF($D161="","",$D161-$J161))</f>
        <v/>
      </c>
      <c r="M161" s="10">
        <f>IF($A161="","",IF(OR($L161="",$E161=""),"",$L161*$E161))</f>
        <v/>
      </c>
      <c r="N161" s="14">
        <f>IF($A161="","",IF($D161="","",IF($J161&gt;=$D161,"Received",IF($J161&gt;0,"Part received","Open"))))</f>
        <v/>
      </c>
      <c r="O161" s="13">
        <f>IF($A161="","",IF($L161="","",IF($L161&lt;=0,"",IF($I161="","",MAX(0,TODAY()-$I161)))))</f>
        <v/>
      </c>
      <c r="P161" s="13">
        <f>IF($A161="","",IFERROR(RIGHT($A161,4)*1,""))</f>
        <v/>
      </c>
      <c r="Q161" s="13">
        <f>IF($A161="","",COUNTIFS($A$5:$A161,$A161))</f>
        <v/>
      </c>
      <c r="R161" s="14">
        <f>IF($A161="","",$A161&amp;"|"&amp;$Q161)</f>
        <v/>
      </c>
      <c r="S161" s="13">
        <f>IF($A161="","",IF($Q161=1,MAX($S$4:$S160)+1,""))</f>
        <v/>
      </c>
      <c r="T161" s="13">
        <f>IF($S161="","",IF(SUMIFS($L$5:$L$204,$A$5:$A$204,$A161)&gt;0,1,0))</f>
        <v/>
      </c>
    </row>
    <row r="162">
      <c r="A162" s="7" t="n"/>
      <c r="B162" s="7" t="n"/>
      <c r="C162" s="7" t="n"/>
      <c r="D162" s="8" t="n"/>
      <c r="E162" s="9" t="n"/>
      <c r="F162" s="10">
        <f>IF($A162="","",IF(OR($D162="",$E162=""),"",$D162*$E162))</f>
        <v/>
      </c>
      <c r="G162" s="7" t="n"/>
      <c r="H162" s="11" t="n"/>
      <c r="I162" s="12">
        <f>IF($A162="","",IF($H162="","",$H162+IFERROR(VLOOKUP($B162,Suppliers!$A$5:$I$54,7,FALSE),0)))</f>
        <v/>
      </c>
      <c r="J162" s="8" t="n"/>
      <c r="K162" s="11" t="n"/>
      <c r="L162" s="13">
        <f>IF($A162="","",IF($D162="","",$D162-$J162))</f>
        <v/>
      </c>
      <c r="M162" s="10">
        <f>IF($A162="","",IF(OR($L162="",$E162=""),"",$L162*$E162))</f>
        <v/>
      </c>
      <c r="N162" s="14">
        <f>IF($A162="","",IF($D162="","",IF($J162&gt;=$D162,"Received",IF($J162&gt;0,"Part received","Open"))))</f>
        <v/>
      </c>
      <c r="O162" s="13">
        <f>IF($A162="","",IF($L162="","",IF($L162&lt;=0,"",IF($I162="","",MAX(0,TODAY()-$I162)))))</f>
        <v/>
      </c>
      <c r="P162" s="13">
        <f>IF($A162="","",IFERROR(RIGHT($A162,4)*1,""))</f>
        <v/>
      </c>
      <c r="Q162" s="13">
        <f>IF($A162="","",COUNTIFS($A$5:$A162,$A162))</f>
        <v/>
      </c>
      <c r="R162" s="14">
        <f>IF($A162="","",$A162&amp;"|"&amp;$Q162)</f>
        <v/>
      </c>
      <c r="S162" s="13">
        <f>IF($A162="","",IF($Q162=1,MAX($S$4:$S161)+1,""))</f>
        <v/>
      </c>
      <c r="T162" s="13">
        <f>IF($S162="","",IF(SUMIFS($L$5:$L$204,$A$5:$A$204,$A162)&gt;0,1,0))</f>
        <v/>
      </c>
    </row>
    <row r="163">
      <c r="A163" s="7" t="n"/>
      <c r="B163" s="7" t="n"/>
      <c r="C163" s="7" t="n"/>
      <c r="D163" s="8" t="n"/>
      <c r="E163" s="9" t="n"/>
      <c r="F163" s="10">
        <f>IF($A163="","",IF(OR($D163="",$E163=""),"",$D163*$E163))</f>
        <v/>
      </c>
      <c r="G163" s="7" t="n"/>
      <c r="H163" s="11" t="n"/>
      <c r="I163" s="12">
        <f>IF($A163="","",IF($H163="","",$H163+IFERROR(VLOOKUP($B163,Suppliers!$A$5:$I$54,7,FALSE),0)))</f>
        <v/>
      </c>
      <c r="J163" s="8" t="n"/>
      <c r="K163" s="11" t="n"/>
      <c r="L163" s="13">
        <f>IF($A163="","",IF($D163="","",$D163-$J163))</f>
        <v/>
      </c>
      <c r="M163" s="10">
        <f>IF($A163="","",IF(OR($L163="",$E163=""),"",$L163*$E163))</f>
        <v/>
      </c>
      <c r="N163" s="14">
        <f>IF($A163="","",IF($D163="","",IF($J163&gt;=$D163,"Received",IF($J163&gt;0,"Part received","Open"))))</f>
        <v/>
      </c>
      <c r="O163" s="13">
        <f>IF($A163="","",IF($L163="","",IF($L163&lt;=0,"",IF($I163="","",MAX(0,TODAY()-$I163)))))</f>
        <v/>
      </c>
      <c r="P163" s="13">
        <f>IF($A163="","",IFERROR(RIGHT($A163,4)*1,""))</f>
        <v/>
      </c>
      <c r="Q163" s="13">
        <f>IF($A163="","",COUNTIFS($A$5:$A163,$A163))</f>
        <v/>
      </c>
      <c r="R163" s="14">
        <f>IF($A163="","",$A163&amp;"|"&amp;$Q163)</f>
        <v/>
      </c>
      <c r="S163" s="13">
        <f>IF($A163="","",IF($Q163=1,MAX($S$4:$S162)+1,""))</f>
        <v/>
      </c>
      <c r="T163" s="13">
        <f>IF($S163="","",IF(SUMIFS($L$5:$L$204,$A$5:$A$204,$A163)&gt;0,1,0))</f>
        <v/>
      </c>
    </row>
    <row r="164">
      <c r="A164" s="7" t="n"/>
      <c r="B164" s="7" t="n"/>
      <c r="C164" s="7" t="n"/>
      <c r="D164" s="8" t="n"/>
      <c r="E164" s="9" t="n"/>
      <c r="F164" s="10">
        <f>IF($A164="","",IF(OR($D164="",$E164=""),"",$D164*$E164))</f>
        <v/>
      </c>
      <c r="G164" s="7" t="n"/>
      <c r="H164" s="11" t="n"/>
      <c r="I164" s="12">
        <f>IF($A164="","",IF($H164="","",$H164+IFERROR(VLOOKUP($B164,Suppliers!$A$5:$I$54,7,FALSE),0)))</f>
        <v/>
      </c>
      <c r="J164" s="8" t="n"/>
      <c r="K164" s="11" t="n"/>
      <c r="L164" s="13">
        <f>IF($A164="","",IF($D164="","",$D164-$J164))</f>
        <v/>
      </c>
      <c r="M164" s="10">
        <f>IF($A164="","",IF(OR($L164="",$E164=""),"",$L164*$E164))</f>
        <v/>
      </c>
      <c r="N164" s="14">
        <f>IF($A164="","",IF($D164="","",IF($J164&gt;=$D164,"Received",IF($J164&gt;0,"Part received","Open"))))</f>
        <v/>
      </c>
      <c r="O164" s="13">
        <f>IF($A164="","",IF($L164="","",IF($L164&lt;=0,"",IF($I164="","",MAX(0,TODAY()-$I164)))))</f>
        <v/>
      </c>
      <c r="P164" s="13">
        <f>IF($A164="","",IFERROR(RIGHT($A164,4)*1,""))</f>
        <v/>
      </c>
      <c r="Q164" s="13">
        <f>IF($A164="","",COUNTIFS($A$5:$A164,$A164))</f>
        <v/>
      </c>
      <c r="R164" s="14">
        <f>IF($A164="","",$A164&amp;"|"&amp;$Q164)</f>
        <v/>
      </c>
      <c r="S164" s="13">
        <f>IF($A164="","",IF($Q164=1,MAX($S$4:$S163)+1,""))</f>
        <v/>
      </c>
      <c r="T164" s="13">
        <f>IF($S164="","",IF(SUMIFS($L$5:$L$204,$A$5:$A$204,$A164)&gt;0,1,0))</f>
        <v/>
      </c>
    </row>
    <row r="165">
      <c r="A165" s="7" t="n"/>
      <c r="B165" s="7" t="n"/>
      <c r="C165" s="7" t="n"/>
      <c r="D165" s="8" t="n"/>
      <c r="E165" s="9" t="n"/>
      <c r="F165" s="10">
        <f>IF($A165="","",IF(OR($D165="",$E165=""),"",$D165*$E165))</f>
        <v/>
      </c>
      <c r="G165" s="7" t="n"/>
      <c r="H165" s="11" t="n"/>
      <c r="I165" s="12">
        <f>IF($A165="","",IF($H165="","",$H165+IFERROR(VLOOKUP($B165,Suppliers!$A$5:$I$54,7,FALSE),0)))</f>
        <v/>
      </c>
      <c r="J165" s="8" t="n"/>
      <c r="K165" s="11" t="n"/>
      <c r="L165" s="13">
        <f>IF($A165="","",IF($D165="","",$D165-$J165))</f>
        <v/>
      </c>
      <c r="M165" s="10">
        <f>IF($A165="","",IF(OR($L165="",$E165=""),"",$L165*$E165))</f>
        <v/>
      </c>
      <c r="N165" s="14">
        <f>IF($A165="","",IF($D165="","",IF($J165&gt;=$D165,"Received",IF($J165&gt;0,"Part received","Open"))))</f>
        <v/>
      </c>
      <c r="O165" s="13">
        <f>IF($A165="","",IF($L165="","",IF($L165&lt;=0,"",IF($I165="","",MAX(0,TODAY()-$I165)))))</f>
        <v/>
      </c>
      <c r="P165" s="13">
        <f>IF($A165="","",IFERROR(RIGHT($A165,4)*1,""))</f>
        <v/>
      </c>
      <c r="Q165" s="13">
        <f>IF($A165="","",COUNTIFS($A$5:$A165,$A165))</f>
        <v/>
      </c>
      <c r="R165" s="14">
        <f>IF($A165="","",$A165&amp;"|"&amp;$Q165)</f>
        <v/>
      </c>
      <c r="S165" s="13">
        <f>IF($A165="","",IF($Q165=1,MAX($S$4:$S164)+1,""))</f>
        <v/>
      </c>
      <c r="T165" s="13">
        <f>IF($S165="","",IF(SUMIFS($L$5:$L$204,$A$5:$A$204,$A165)&gt;0,1,0))</f>
        <v/>
      </c>
    </row>
    <row r="166">
      <c r="A166" s="7" t="n"/>
      <c r="B166" s="7" t="n"/>
      <c r="C166" s="7" t="n"/>
      <c r="D166" s="8" t="n"/>
      <c r="E166" s="9" t="n"/>
      <c r="F166" s="10">
        <f>IF($A166="","",IF(OR($D166="",$E166=""),"",$D166*$E166))</f>
        <v/>
      </c>
      <c r="G166" s="7" t="n"/>
      <c r="H166" s="11" t="n"/>
      <c r="I166" s="12">
        <f>IF($A166="","",IF($H166="","",$H166+IFERROR(VLOOKUP($B166,Suppliers!$A$5:$I$54,7,FALSE),0)))</f>
        <v/>
      </c>
      <c r="J166" s="8" t="n"/>
      <c r="K166" s="11" t="n"/>
      <c r="L166" s="13">
        <f>IF($A166="","",IF($D166="","",$D166-$J166))</f>
        <v/>
      </c>
      <c r="M166" s="10">
        <f>IF($A166="","",IF(OR($L166="",$E166=""),"",$L166*$E166))</f>
        <v/>
      </c>
      <c r="N166" s="14">
        <f>IF($A166="","",IF($D166="","",IF($J166&gt;=$D166,"Received",IF($J166&gt;0,"Part received","Open"))))</f>
        <v/>
      </c>
      <c r="O166" s="13">
        <f>IF($A166="","",IF($L166="","",IF($L166&lt;=0,"",IF($I166="","",MAX(0,TODAY()-$I166)))))</f>
        <v/>
      </c>
      <c r="P166" s="13">
        <f>IF($A166="","",IFERROR(RIGHT($A166,4)*1,""))</f>
        <v/>
      </c>
      <c r="Q166" s="13">
        <f>IF($A166="","",COUNTIFS($A$5:$A166,$A166))</f>
        <v/>
      </c>
      <c r="R166" s="14">
        <f>IF($A166="","",$A166&amp;"|"&amp;$Q166)</f>
        <v/>
      </c>
      <c r="S166" s="13">
        <f>IF($A166="","",IF($Q166=1,MAX($S$4:$S165)+1,""))</f>
        <v/>
      </c>
      <c r="T166" s="13">
        <f>IF($S166="","",IF(SUMIFS($L$5:$L$204,$A$5:$A$204,$A166)&gt;0,1,0))</f>
        <v/>
      </c>
    </row>
    <row r="167">
      <c r="A167" s="7" t="n"/>
      <c r="B167" s="7" t="n"/>
      <c r="C167" s="7" t="n"/>
      <c r="D167" s="8" t="n"/>
      <c r="E167" s="9" t="n"/>
      <c r="F167" s="10">
        <f>IF($A167="","",IF(OR($D167="",$E167=""),"",$D167*$E167))</f>
        <v/>
      </c>
      <c r="G167" s="7" t="n"/>
      <c r="H167" s="11" t="n"/>
      <c r="I167" s="12">
        <f>IF($A167="","",IF($H167="","",$H167+IFERROR(VLOOKUP($B167,Suppliers!$A$5:$I$54,7,FALSE),0)))</f>
        <v/>
      </c>
      <c r="J167" s="8" t="n"/>
      <c r="K167" s="11" t="n"/>
      <c r="L167" s="13">
        <f>IF($A167="","",IF($D167="","",$D167-$J167))</f>
        <v/>
      </c>
      <c r="M167" s="10">
        <f>IF($A167="","",IF(OR($L167="",$E167=""),"",$L167*$E167))</f>
        <v/>
      </c>
      <c r="N167" s="14">
        <f>IF($A167="","",IF($D167="","",IF($J167&gt;=$D167,"Received",IF($J167&gt;0,"Part received","Open"))))</f>
        <v/>
      </c>
      <c r="O167" s="13">
        <f>IF($A167="","",IF($L167="","",IF($L167&lt;=0,"",IF($I167="","",MAX(0,TODAY()-$I167)))))</f>
        <v/>
      </c>
      <c r="P167" s="13">
        <f>IF($A167="","",IFERROR(RIGHT($A167,4)*1,""))</f>
        <v/>
      </c>
      <c r="Q167" s="13">
        <f>IF($A167="","",COUNTIFS($A$5:$A167,$A167))</f>
        <v/>
      </c>
      <c r="R167" s="14">
        <f>IF($A167="","",$A167&amp;"|"&amp;$Q167)</f>
        <v/>
      </c>
      <c r="S167" s="13">
        <f>IF($A167="","",IF($Q167=1,MAX($S$4:$S166)+1,""))</f>
        <v/>
      </c>
      <c r="T167" s="13">
        <f>IF($S167="","",IF(SUMIFS($L$5:$L$204,$A$5:$A$204,$A167)&gt;0,1,0))</f>
        <v/>
      </c>
    </row>
    <row r="168">
      <c r="A168" s="7" t="n"/>
      <c r="B168" s="7" t="n"/>
      <c r="C168" s="7" t="n"/>
      <c r="D168" s="8" t="n"/>
      <c r="E168" s="9" t="n"/>
      <c r="F168" s="10">
        <f>IF($A168="","",IF(OR($D168="",$E168=""),"",$D168*$E168))</f>
        <v/>
      </c>
      <c r="G168" s="7" t="n"/>
      <c r="H168" s="11" t="n"/>
      <c r="I168" s="12">
        <f>IF($A168="","",IF($H168="","",$H168+IFERROR(VLOOKUP($B168,Suppliers!$A$5:$I$54,7,FALSE),0)))</f>
        <v/>
      </c>
      <c r="J168" s="8" t="n"/>
      <c r="K168" s="11" t="n"/>
      <c r="L168" s="13">
        <f>IF($A168="","",IF($D168="","",$D168-$J168))</f>
        <v/>
      </c>
      <c r="M168" s="10">
        <f>IF($A168="","",IF(OR($L168="",$E168=""),"",$L168*$E168))</f>
        <v/>
      </c>
      <c r="N168" s="14">
        <f>IF($A168="","",IF($D168="","",IF($J168&gt;=$D168,"Received",IF($J168&gt;0,"Part received","Open"))))</f>
        <v/>
      </c>
      <c r="O168" s="13">
        <f>IF($A168="","",IF($L168="","",IF($L168&lt;=0,"",IF($I168="","",MAX(0,TODAY()-$I168)))))</f>
        <v/>
      </c>
      <c r="P168" s="13">
        <f>IF($A168="","",IFERROR(RIGHT($A168,4)*1,""))</f>
        <v/>
      </c>
      <c r="Q168" s="13">
        <f>IF($A168="","",COUNTIFS($A$5:$A168,$A168))</f>
        <v/>
      </c>
      <c r="R168" s="14">
        <f>IF($A168="","",$A168&amp;"|"&amp;$Q168)</f>
        <v/>
      </c>
      <c r="S168" s="13">
        <f>IF($A168="","",IF($Q168=1,MAX($S$4:$S167)+1,""))</f>
        <v/>
      </c>
      <c r="T168" s="13">
        <f>IF($S168="","",IF(SUMIFS($L$5:$L$204,$A$5:$A$204,$A168)&gt;0,1,0))</f>
        <v/>
      </c>
    </row>
    <row r="169">
      <c r="A169" s="7" t="n"/>
      <c r="B169" s="7" t="n"/>
      <c r="C169" s="7" t="n"/>
      <c r="D169" s="8" t="n"/>
      <c r="E169" s="9" t="n"/>
      <c r="F169" s="10">
        <f>IF($A169="","",IF(OR($D169="",$E169=""),"",$D169*$E169))</f>
        <v/>
      </c>
      <c r="G169" s="7" t="n"/>
      <c r="H169" s="11" t="n"/>
      <c r="I169" s="12">
        <f>IF($A169="","",IF($H169="","",$H169+IFERROR(VLOOKUP($B169,Suppliers!$A$5:$I$54,7,FALSE),0)))</f>
        <v/>
      </c>
      <c r="J169" s="8" t="n"/>
      <c r="K169" s="11" t="n"/>
      <c r="L169" s="13">
        <f>IF($A169="","",IF($D169="","",$D169-$J169))</f>
        <v/>
      </c>
      <c r="M169" s="10">
        <f>IF($A169="","",IF(OR($L169="",$E169=""),"",$L169*$E169))</f>
        <v/>
      </c>
      <c r="N169" s="14">
        <f>IF($A169="","",IF($D169="","",IF($J169&gt;=$D169,"Received",IF($J169&gt;0,"Part received","Open"))))</f>
        <v/>
      </c>
      <c r="O169" s="13">
        <f>IF($A169="","",IF($L169="","",IF($L169&lt;=0,"",IF($I169="","",MAX(0,TODAY()-$I169)))))</f>
        <v/>
      </c>
      <c r="P169" s="13">
        <f>IF($A169="","",IFERROR(RIGHT($A169,4)*1,""))</f>
        <v/>
      </c>
      <c r="Q169" s="13">
        <f>IF($A169="","",COUNTIFS($A$5:$A169,$A169))</f>
        <v/>
      </c>
      <c r="R169" s="14">
        <f>IF($A169="","",$A169&amp;"|"&amp;$Q169)</f>
        <v/>
      </c>
      <c r="S169" s="13">
        <f>IF($A169="","",IF($Q169=1,MAX($S$4:$S168)+1,""))</f>
        <v/>
      </c>
      <c r="T169" s="13">
        <f>IF($S169="","",IF(SUMIFS($L$5:$L$204,$A$5:$A$204,$A169)&gt;0,1,0))</f>
        <v/>
      </c>
    </row>
    <row r="170">
      <c r="A170" s="7" t="n"/>
      <c r="B170" s="7" t="n"/>
      <c r="C170" s="7" t="n"/>
      <c r="D170" s="8" t="n"/>
      <c r="E170" s="9" t="n"/>
      <c r="F170" s="10">
        <f>IF($A170="","",IF(OR($D170="",$E170=""),"",$D170*$E170))</f>
        <v/>
      </c>
      <c r="G170" s="7" t="n"/>
      <c r="H170" s="11" t="n"/>
      <c r="I170" s="12">
        <f>IF($A170="","",IF($H170="","",$H170+IFERROR(VLOOKUP($B170,Suppliers!$A$5:$I$54,7,FALSE),0)))</f>
        <v/>
      </c>
      <c r="J170" s="8" t="n"/>
      <c r="K170" s="11" t="n"/>
      <c r="L170" s="13">
        <f>IF($A170="","",IF($D170="","",$D170-$J170))</f>
        <v/>
      </c>
      <c r="M170" s="10">
        <f>IF($A170="","",IF(OR($L170="",$E170=""),"",$L170*$E170))</f>
        <v/>
      </c>
      <c r="N170" s="14">
        <f>IF($A170="","",IF($D170="","",IF($J170&gt;=$D170,"Received",IF($J170&gt;0,"Part received","Open"))))</f>
        <v/>
      </c>
      <c r="O170" s="13">
        <f>IF($A170="","",IF($L170="","",IF($L170&lt;=0,"",IF($I170="","",MAX(0,TODAY()-$I170)))))</f>
        <v/>
      </c>
      <c r="P170" s="13">
        <f>IF($A170="","",IFERROR(RIGHT($A170,4)*1,""))</f>
        <v/>
      </c>
      <c r="Q170" s="13">
        <f>IF($A170="","",COUNTIFS($A$5:$A170,$A170))</f>
        <v/>
      </c>
      <c r="R170" s="14">
        <f>IF($A170="","",$A170&amp;"|"&amp;$Q170)</f>
        <v/>
      </c>
      <c r="S170" s="13">
        <f>IF($A170="","",IF($Q170=1,MAX($S$4:$S169)+1,""))</f>
        <v/>
      </c>
      <c r="T170" s="13">
        <f>IF($S170="","",IF(SUMIFS($L$5:$L$204,$A$5:$A$204,$A170)&gt;0,1,0))</f>
        <v/>
      </c>
    </row>
    <row r="171">
      <c r="A171" s="7" t="n"/>
      <c r="B171" s="7" t="n"/>
      <c r="C171" s="7" t="n"/>
      <c r="D171" s="8" t="n"/>
      <c r="E171" s="9" t="n"/>
      <c r="F171" s="10">
        <f>IF($A171="","",IF(OR($D171="",$E171=""),"",$D171*$E171))</f>
        <v/>
      </c>
      <c r="G171" s="7" t="n"/>
      <c r="H171" s="11" t="n"/>
      <c r="I171" s="12">
        <f>IF($A171="","",IF($H171="","",$H171+IFERROR(VLOOKUP($B171,Suppliers!$A$5:$I$54,7,FALSE),0)))</f>
        <v/>
      </c>
      <c r="J171" s="8" t="n"/>
      <c r="K171" s="11" t="n"/>
      <c r="L171" s="13">
        <f>IF($A171="","",IF($D171="","",$D171-$J171))</f>
        <v/>
      </c>
      <c r="M171" s="10">
        <f>IF($A171="","",IF(OR($L171="",$E171=""),"",$L171*$E171))</f>
        <v/>
      </c>
      <c r="N171" s="14">
        <f>IF($A171="","",IF($D171="","",IF($J171&gt;=$D171,"Received",IF($J171&gt;0,"Part received","Open"))))</f>
        <v/>
      </c>
      <c r="O171" s="13">
        <f>IF($A171="","",IF($L171="","",IF($L171&lt;=0,"",IF($I171="","",MAX(0,TODAY()-$I171)))))</f>
        <v/>
      </c>
      <c r="P171" s="13">
        <f>IF($A171="","",IFERROR(RIGHT($A171,4)*1,""))</f>
        <v/>
      </c>
      <c r="Q171" s="13">
        <f>IF($A171="","",COUNTIFS($A$5:$A171,$A171))</f>
        <v/>
      </c>
      <c r="R171" s="14">
        <f>IF($A171="","",$A171&amp;"|"&amp;$Q171)</f>
        <v/>
      </c>
      <c r="S171" s="13">
        <f>IF($A171="","",IF($Q171=1,MAX($S$4:$S170)+1,""))</f>
        <v/>
      </c>
      <c r="T171" s="13">
        <f>IF($S171="","",IF(SUMIFS($L$5:$L$204,$A$5:$A$204,$A171)&gt;0,1,0))</f>
        <v/>
      </c>
    </row>
    <row r="172">
      <c r="A172" s="7" t="n"/>
      <c r="B172" s="7" t="n"/>
      <c r="C172" s="7" t="n"/>
      <c r="D172" s="8" t="n"/>
      <c r="E172" s="9" t="n"/>
      <c r="F172" s="10">
        <f>IF($A172="","",IF(OR($D172="",$E172=""),"",$D172*$E172))</f>
        <v/>
      </c>
      <c r="G172" s="7" t="n"/>
      <c r="H172" s="11" t="n"/>
      <c r="I172" s="12">
        <f>IF($A172="","",IF($H172="","",$H172+IFERROR(VLOOKUP($B172,Suppliers!$A$5:$I$54,7,FALSE),0)))</f>
        <v/>
      </c>
      <c r="J172" s="8" t="n"/>
      <c r="K172" s="11" t="n"/>
      <c r="L172" s="13">
        <f>IF($A172="","",IF($D172="","",$D172-$J172))</f>
        <v/>
      </c>
      <c r="M172" s="10">
        <f>IF($A172="","",IF(OR($L172="",$E172=""),"",$L172*$E172))</f>
        <v/>
      </c>
      <c r="N172" s="14">
        <f>IF($A172="","",IF($D172="","",IF($J172&gt;=$D172,"Received",IF($J172&gt;0,"Part received","Open"))))</f>
        <v/>
      </c>
      <c r="O172" s="13">
        <f>IF($A172="","",IF($L172="","",IF($L172&lt;=0,"",IF($I172="","",MAX(0,TODAY()-$I172)))))</f>
        <v/>
      </c>
      <c r="P172" s="13">
        <f>IF($A172="","",IFERROR(RIGHT($A172,4)*1,""))</f>
        <v/>
      </c>
      <c r="Q172" s="13">
        <f>IF($A172="","",COUNTIFS($A$5:$A172,$A172))</f>
        <v/>
      </c>
      <c r="R172" s="14">
        <f>IF($A172="","",$A172&amp;"|"&amp;$Q172)</f>
        <v/>
      </c>
      <c r="S172" s="13">
        <f>IF($A172="","",IF($Q172=1,MAX($S$4:$S171)+1,""))</f>
        <v/>
      </c>
      <c r="T172" s="13">
        <f>IF($S172="","",IF(SUMIFS($L$5:$L$204,$A$5:$A$204,$A172)&gt;0,1,0))</f>
        <v/>
      </c>
    </row>
    <row r="173">
      <c r="A173" s="7" t="n"/>
      <c r="B173" s="7" t="n"/>
      <c r="C173" s="7" t="n"/>
      <c r="D173" s="8" t="n"/>
      <c r="E173" s="9" t="n"/>
      <c r="F173" s="10">
        <f>IF($A173="","",IF(OR($D173="",$E173=""),"",$D173*$E173))</f>
        <v/>
      </c>
      <c r="G173" s="7" t="n"/>
      <c r="H173" s="11" t="n"/>
      <c r="I173" s="12">
        <f>IF($A173="","",IF($H173="","",$H173+IFERROR(VLOOKUP($B173,Suppliers!$A$5:$I$54,7,FALSE),0)))</f>
        <v/>
      </c>
      <c r="J173" s="8" t="n"/>
      <c r="K173" s="11" t="n"/>
      <c r="L173" s="13">
        <f>IF($A173="","",IF($D173="","",$D173-$J173))</f>
        <v/>
      </c>
      <c r="M173" s="10">
        <f>IF($A173="","",IF(OR($L173="",$E173=""),"",$L173*$E173))</f>
        <v/>
      </c>
      <c r="N173" s="14">
        <f>IF($A173="","",IF($D173="","",IF($J173&gt;=$D173,"Received",IF($J173&gt;0,"Part received","Open"))))</f>
        <v/>
      </c>
      <c r="O173" s="13">
        <f>IF($A173="","",IF($L173="","",IF($L173&lt;=0,"",IF($I173="","",MAX(0,TODAY()-$I173)))))</f>
        <v/>
      </c>
      <c r="P173" s="13">
        <f>IF($A173="","",IFERROR(RIGHT($A173,4)*1,""))</f>
        <v/>
      </c>
      <c r="Q173" s="13">
        <f>IF($A173="","",COUNTIFS($A$5:$A173,$A173))</f>
        <v/>
      </c>
      <c r="R173" s="14">
        <f>IF($A173="","",$A173&amp;"|"&amp;$Q173)</f>
        <v/>
      </c>
      <c r="S173" s="13">
        <f>IF($A173="","",IF($Q173=1,MAX($S$4:$S172)+1,""))</f>
        <v/>
      </c>
      <c r="T173" s="13">
        <f>IF($S173="","",IF(SUMIFS($L$5:$L$204,$A$5:$A$204,$A173)&gt;0,1,0))</f>
        <v/>
      </c>
    </row>
    <row r="174">
      <c r="A174" s="7" t="n"/>
      <c r="B174" s="7" t="n"/>
      <c r="C174" s="7" t="n"/>
      <c r="D174" s="8" t="n"/>
      <c r="E174" s="9" t="n"/>
      <c r="F174" s="10">
        <f>IF($A174="","",IF(OR($D174="",$E174=""),"",$D174*$E174))</f>
        <v/>
      </c>
      <c r="G174" s="7" t="n"/>
      <c r="H174" s="11" t="n"/>
      <c r="I174" s="12">
        <f>IF($A174="","",IF($H174="","",$H174+IFERROR(VLOOKUP($B174,Suppliers!$A$5:$I$54,7,FALSE),0)))</f>
        <v/>
      </c>
      <c r="J174" s="8" t="n"/>
      <c r="K174" s="11" t="n"/>
      <c r="L174" s="13">
        <f>IF($A174="","",IF($D174="","",$D174-$J174))</f>
        <v/>
      </c>
      <c r="M174" s="10">
        <f>IF($A174="","",IF(OR($L174="",$E174=""),"",$L174*$E174))</f>
        <v/>
      </c>
      <c r="N174" s="14">
        <f>IF($A174="","",IF($D174="","",IF($J174&gt;=$D174,"Received",IF($J174&gt;0,"Part received","Open"))))</f>
        <v/>
      </c>
      <c r="O174" s="13">
        <f>IF($A174="","",IF($L174="","",IF($L174&lt;=0,"",IF($I174="","",MAX(0,TODAY()-$I174)))))</f>
        <v/>
      </c>
      <c r="P174" s="13">
        <f>IF($A174="","",IFERROR(RIGHT($A174,4)*1,""))</f>
        <v/>
      </c>
      <c r="Q174" s="13">
        <f>IF($A174="","",COUNTIFS($A$5:$A174,$A174))</f>
        <v/>
      </c>
      <c r="R174" s="14">
        <f>IF($A174="","",$A174&amp;"|"&amp;$Q174)</f>
        <v/>
      </c>
      <c r="S174" s="13">
        <f>IF($A174="","",IF($Q174=1,MAX($S$4:$S173)+1,""))</f>
        <v/>
      </c>
      <c r="T174" s="13">
        <f>IF($S174="","",IF(SUMIFS($L$5:$L$204,$A$5:$A$204,$A174)&gt;0,1,0))</f>
        <v/>
      </c>
    </row>
    <row r="175">
      <c r="A175" s="7" t="n"/>
      <c r="B175" s="7" t="n"/>
      <c r="C175" s="7" t="n"/>
      <c r="D175" s="8" t="n"/>
      <c r="E175" s="9" t="n"/>
      <c r="F175" s="10">
        <f>IF($A175="","",IF(OR($D175="",$E175=""),"",$D175*$E175))</f>
        <v/>
      </c>
      <c r="G175" s="7" t="n"/>
      <c r="H175" s="11" t="n"/>
      <c r="I175" s="12">
        <f>IF($A175="","",IF($H175="","",$H175+IFERROR(VLOOKUP($B175,Suppliers!$A$5:$I$54,7,FALSE),0)))</f>
        <v/>
      </c>
      <c r="J175" s="8" t="n"/>
      <c r="K175" s="11" t="n"/>
      <c r="L175" s="13">
        <f>IF($A175="","",IF($D175="","",$D175-$J175))</f>
        <v/>
      </c>
      <c r="M175" s="10">
        <f>IF($A175="","",IF(OR($L175="",$E175=""),"",$L175*$E175))</f>
        <v/>
      </c>
      <c r="N175" s="14">
        <f>IF($A175="","",IF($D175="","",IF($J175&gt;=$D175,"Received",IF($J175&gt;0,"Part received","Open"))))</f>
        <v/>
      </c>
      <c r="O175" s="13">
        <f>IF($A175="","",IF($L175="","",IF($L175&lt;=0,"",IF($I175="","",MAX(0,TODAY()-$I175)))))</f>
        <v/>
      </c>
      <c r="P175" s="13">
        <f>IF($A175="","",IFERROR(RIGHT($A175,4)*1,""))</f>
        <v/>
      </c>
      <c r="Q175" s="13">
        <f>IF($A175="","",COUNTIFS($A$5:$A175,$A175))</f>
        <v/>
      </c>
      <c r="R175" s="14">
        <f>IF($A175="","",$A175&amp;"|"&amp;$Q175)</f>
        <v/>
      </c>
      <c r="S175" s="13">
        <f>IF($A175="","",IF($Q175=1,MAX($S$4:$S174)+1,""))</f>
        <v/>
      </c>
      <c r="T175" s="13">
        <f>IF($S175="","",IF(SUMIFS($L$5:$L$204,$A$5:$A$204,$A175)&gt;0,1,0))</f>
        <v/>
      </c>
    </row>
    <row r="176">
      <c r="A176" s="7" t="n"/>
      <c r="B176" s="7" t="n"/>
      <c r="C176" s="7" t="n"/>
      <c r="D176" s="8" t="n"/>
      <c r="E176" s="9" t="n"/>
      <c r="F176" s="10">
        <f>IF($A176="","",IF(OR($D176="",$E176=""),"",$D176*$E176))</f>
        <v/>
      </c>
      <c r="G176" s="7" t="n"/>
      <c r="H176" s="11" t="n"/>
      <c r="I176" s="12">
        <f>IF($A176="","",IF($H176="","",$H176+IFERROR(VLOOKUP($B176,Suppliers!$A$5:$I$54,7,FALSE),0)))</f>
        <v/>
      </c>
      <c r="J176" s="8" t="n"/>
      <c r="K176" s="11" t="n"/>
      <c r="L176" s="13">
        <f>IF($A176="","",IF($D176="","",$D176-$J176))</f>
        <v/>
      </c>
      <c r="M176" s="10">
        <f>IF($A176="","",IF(OR($L176="",$E176=""),"",$L176*$E176))</f>
        <v/>
      </c>
      <c r="N176" s="14">
        <f>IF($A176="","",IF($D176="","",IF($J176&gt;=$D176,"Received",IF($J176&gt;0,"Part received","Open"))))</f>
        <v/>
      </c>
      <c r="O176" s="13">
        <f>IF($A176="","",IF($L176="","",IF($L176&lt;=0,"",IF($I176="","",MAX(0,TODAY()-$I176)))))</f>
        <v/>
      </c>
      <c r="P176" s="13">
        <f>IF($A176="","",IFERROR(RIGHT($A176,4)*1,""))</f>
        <v/>
      </c>
      <c r="Q176" s="13">
        <f>IF($A176="","",COUNTIFS($A$5:$A176,$A176))</f>
        <v/>
      </c>
      <c r="R176" s="14">
        <f>IF($A176="","",$A176&amp;"|"&amp;$Q176)</f>
        <v/>
      </c>
      <c r="S176" s="13">
        <f>IF($A176="","",IF($Q176=1,MAX($S$4:$S175)+1,""))</f>
        <v/>
      </c>
      <c r="T176" s="13">
        <f>IF($S176="","",IF(SUMIFS($L$5:$L$204,$A$5:$A$204,$A176)&gt;0,1,0))</f>
        <v/>
      </c>
    </row>
    <row r="177">
      <c r="A177" s="7" t="n"/>
      <c r="B177" s="7" t="n"/>
      <c r="C177" s="7" t="n"/>
      <c r="D177" s="8" t="n"/>
      <c r="E177" s="9" t="n"/>
      <c r="F177" s="10">
        <f>IF($A177="","",IF(OR($D177="",$E177=""),"",$D177*$E177))</f>
        <v/>
      </c>
      <c r="G177" s="7" t="n"/>
      <c r="H177" s="11" t="n"/>
      <c r="I177" s="12">
        <f>IF($A177="","",IF($H177="","",$H177+IFERROR(VLOOKUP($B177,Suppliers!$A$5:$I$54,7,FALSE),0)))</f>
        <v/>
      </c>
      <c r="J177" s="8" t="n"/>
      <c r="K177" s="11" t="n"/>
      <c r="L177" s="13">
        <f>IF($A177="","",IF($D177="","",$D177-$J177))</f>
        <v/>
      </c>
      <c r="M177" s="10">
        <f>IF($A177="","",IF(OR($L177="",$E177=""),"",$L177*$E177))</f>
        <v/>
      </c>
      <c r="N177" s="14">
        <f>IF($A177="","",IF($D177="","",IF($J177&gt;=$D177,"Received",IF($J177&gt;0,"Part received","Open"))))</f>
        <v/>
      </c>
      <c r="O177" s="13">
        <f>IF($A177="","",IF($L177="","",IF($L177&lt;=0,"",IF($I177="","",MAX(0,TODAY()-$I177)))))</f>
        <v/>
      </c>
      <c r="P177" s="13">
        <f>IF($A177="","",IFERROR(RIGHT($A177,4)*1,""))</f>
        <v/>
      </c>
      <c r="Q177" s="13">
        <f>IF($A177="","",COUNTIFS($A$5:$A177,$A177))</f>
        <v/>
      </c>
      <c r="R177" s="14">
        <f>IF($A177="","",$A177&amp;"|"&amp;$Q177)</f>
        <v/>
      </c>
      <c r="S177" s="13">
        <f>IF($A177="","",IF($Q177=1,MAX($S$4:$S176)+1,""))</f>
        <v/>
      </c>
      <c r="T177" s="13">
        <f>IF($S177="","",IF(SUMIFS($L$5:$L$204,$A$5:$A$204,$A177)&gt;0,1,0))</f>
        <v/>
      </c>
    </row>
    <row r="178">
      <c r="A178" s="7" t="n"/>
      <c r="B178" s="7" t="n"/>
      <c r="C178" s="7" t="n"/>
      <c r="D178" s="8" t="n"/>
      <c r="E178" s="9" t="n"/>
      <c r="F178" s="10">
        <f>IF($A178="","",IF(OR($D178="",$E178=""),"",$D178*$E178))</f>
        <v/>
      </c>
      <c r="G178" s="7" t="n"/>
      <c r="H178" s="11" t="n"/>
      <c r="I178" s="12">
        <f>IF($A178="","",IF($H178="","",$H178+IFERROR(VLOOKUP($B178,Suppliers!$A$5:$I$54,7,FALSE),0)))</f>
        <v/>
      </c>
      <c r="J178" s="8" t="n"/>
      <c r="K178" s="11" t="n"/>
      <c r="L178" s="13">
        <f>IF($A178="","",IF($D178="","",$D178-$J178))</f>
        <v/>
      </c>
      <c r="M178" s="10">
        <f>IF($A178="","",IF(OR($L178="",$E178=""),"",$L178*$E178))</f>
        <v/>
      </c>
      <c r="N178" s="14">
        <f>IF($A178="","",IF($D178="","",IF($J178&gt;=$D178,"Received",IF($J178&gt;0,"Part received","Open"))))</f>
        <v/>
      </c>
      <c r="O178" s="13">
        <f>IF($A178="","",IF($L178="","",IF($L178&lt;=0,"",IF($I178="","",MAX(0,TODAY()-$I178)))))</f>
        <v/>
      </c>
      <c r="P178" s="13">
        <f>IF($A178="","",IFERROR(RIGHT($A178,4)*1,""))</f>
        <v/>
      </c>
      <c r="Q178" s="13">
        <f>IF($A178="","",COUNTIFS($A$5:$A178,$A178))</f>
        <v/>
      </c>
      <c r="R178" s="14">
        <f>IF($A178="","",$A178&amp;"|"&amp;$Q178)</f>
        <v/>
      </c>
      <c r="S178" s="13">
        <f>IF($A178="","",IF($Q178=1,MAX($S$4:$S177)+1,""))</f>
        <v/>
      </c>
      <c r="T178" s="13">
        <f>IF($S178="","",IF(SUMIFS($L$5:$L$204,$A$5:$A$204,$A178)&gt;0,1,0))</f>
        <v/>
      </c>
    </row>
    <row r="179">
      <c r="A179" s="7" t="n"/>
      <c r="B179" s="7" t="n"/>
      <c r="C179" s="7" t="n"/>
      <c r="D179" s="8" t="n"/>
      <c r="E179" s="9" t="n"/>
      <c r="F179" s="10">
        <f>IF($A179="","",IF(OR($D179="",$E179=""),"",$D179*$E179))</f>
        <v/>
      </c>
      <c r="G179" s="7" t="n"/>
      <c r="H179" s="11" t="n"/>
      <c r="I179" s="12">
        <f>IF($A179="","",IF($H179="","",$H179+IFERROR(VLOOKUP($B179,Suppliers!$A$5:$I$54,7,FALSE),0)))</f>
        <v/>
      </c>
      <c r="J179" s="8" t="n"/>
      <c r="K179" s="11" t="n"/>
      <c r="L179" s="13">
        <f>IF($A179="","",IF($D179="","",$D179-$J179))</f>
        <v/>
      </c>
      <c r="M179" s="10">
        <f>IF($A179="","",IF(OR($L179="",$E179=""),"",$L179*$E179))</f>
        <v/>
      </c>
      <c r="N179" s="14">
        <f>IF($A179="","",IF($D179="","",IF($J179&gt;=$D179,"Received",IF($J179&gt;0,"Part received","Open"))))</f>
        <v/>
      </c>
      <c r="O179" s="13">
        <f>IF($A179="","",IF($L179="","",IF($L179&lt;=0,"",IF($I179="","",MAX(0,TODAY()-$I179)))))</f>
        <v/>
      </c>
      <c r="P179" s="13">
        <f>IF($A179="","",IFERROR(RIGHT($A179,4)*1,""))</f>
        <v/>
      </c>
      <c r="Q179" s="13">
        <f>IF($A179="","",COUNTIFS($A$5:$A179,$A179))</f>
        <v/>
      </c>
      <c r="R179" s="14">
        <f>IF($A179="","",$A179&amp;"|"&amp;$Q179)</f>
        <v/>
      </c>
      <c r="S179" s="13">
        <f>IF($A179="","",IF($Q179=1,MAX($S$4:$S178)+1,""))</f>
        <v/>
      </c>
      <c r="T179" s="13">
        <f>IF($S179="","",IF(SUMIFS($L$5:$L$204,$A$5:$A$204,$A179)&gt;0,1,0))</f>
        <v/>
      </c>
    </row>
    <row r="180">
      <c r="A180" s="7" t="n"/>
      <c r="B180" s="7" t="n"/>
      <c r="C180" s="7" t="n"/>
      <c r="D180" s="8" t="n"/>
      <c r="E180" s="9" t="n"/>
      <c r="F180" s="10">
        <f>IF($A180="","",IF(OR($D180="",$E180=""),"",$D180*$E180))</f>
        <v/>
      </c>
      <c r="G180" s="7" t="n"/>
      <c r="H180" s="11" t="n"/>
      <c r="I180" s="12">
        <f>IF($A180="","",IF($H180="","",$H180+IFERROR(VLOOKUP($B180,Suppliers!$A$5:$I$54,7,FALSE),0)))</f>
        <v/>
      </c>
      <c r="J180" s="8" t="n"/>
      <c r="K180" s="11" t="n"/>
      <c r="L180" s="13">
        <f>IF($A180="","",IF($D180="","",$D180-$J180))</f>
        <v/>
      </c>
      <c r="M180" s="10">
        <f>IF($A180="","",IF(OR($L180="",$E180=""),"",$L180*$E180))</f>
        <v/>
      </c>
      <c r="N180" s="14">
        <f>IF($A180="","",IF($D180="","",IF($J180&gt;=$D180,"Received",IF($J180&gt;0,"Part received","Open"))))</f>
        <v/>
      </c>
      <c r="O180" s="13">
        <f>IF($A180="","",IF($L180="","",IF($L180&lt;=0,"",IF($I180="","",MAX(0,TODAY()-$I180)))))</f>
        <v/>
      </c>
      <c r="P180" s="13">
        <f>IF($A180="","",IFERROR(RIGHT($A180,4)*1,""))</f>
        <v/>
      </c>
      <c r="Q180" s="13">
        <f>IF($A180="","",COUNTIFS($A$5:$A180,$A180))</f>
        <v/>
      </c>
      <c r="R180" s="14">
        <f>IF($A180="","",$A180&amp;"|"&amp;$Q180)</f>
        <v/>
      </c>
      <c r="S180" s="13">
        <f>IF($A180="","",IF($Q180=1,MAX($S$4:$S179)+1,""))</f>
        <v/>
      </c>
      <c r="T180" s="13">
        <f>IF($S180="","",IF(SUMIFS($L$5:$L$204,$A$5:$A$204,$A180)&gt;0,1,0))</f>
        <v/>
      </c>
    </row>
    <row r="181">
      <c r="A181" s="7" t="n"/>
      <c r="B181" s="7" t="n"/>
      <c r="C181" s="7" t="n"/>
      <c r="D181" s="8" t="n"/>
      <c r="E181" s="9" t="n"/>
      <c r="F181" s="10">
        <f>IF($A181="","",IF(OR($D181="",$E181=""),"",$D181*$E181))</f>
        <v/>
      </c>
      <c r="G181" s="7" t="n"/>
      <c r="H181" s="11" t="n"/>
      <c r="I181" s="12">
        <f>IF($A181="","",IF($H181="","",$H181+IFERROR(VLOOKUP($B181,Suppliers!$A$5:$I$54,7,FALSE),0)))</f>
        <v/>
      </c>
      <c r="J181" s="8" t="n"/>
      <c r="K181" s="11" t="n"/>
      <c r="L181" s="13">
        <f>IF($A181="","",IF($D181="","",$D181-$J181))</f>
        <v/>
      </c>
      <c r="M181" s="10">
        <f>IF($A181="","",IF(OR($L181="",$E181=""),"",$L181*$E181))</f>
        <v/>
      </c>
      <c r="N181" s="14">
        <f>IF($A181="","",IF($D181="","",IF($J181&gt;=$D181,"Received",IF($J181&gt;0,"Part received","Open"))))</f>
        <v/>
      </c>
      <c r="O181" s="13">
        <f>IF($A181="","",IF($L181="","",IF($L181&lt;=0,"",IF($I181="","",MAX(0,TODAY()-$I181)))))</f>
        <v/>
      </c>
      <c r="P181" s="13">
        <f>IF($A181="","",IFERROR(RIGHT($A181,4)*1,""))</f>
        <v/>
      </c>
      <c r="Q181" s="13">
        <f>IF($A181="","",COUNTIFS($A$5:$A181,$A181))</f>
        <v/>
      </c>
      <c r="R181" s="14">
        <f>IF($A181="","",$A181&amp;"|"&amp;$Q181)</f>
        <v/>
      </c>
      <c r="S181" s="13">
        <f>IF($A181="","",IF($Q181=1,MAX($S$4:$S180)+1,""))</f>
        <v/>
      </c>
      <c r="T181" s="13">
        <f>IF($S181="","",IF(SUMIFS($L$5:$L$204,$A$5:$A$204,$A181)&gt;0,1,0))</f>
        <v/>
      </c>
    </row>
    <row r="182">
      <c r="A182" s="7" t="n"/>
      <c r="B182" s="7" t="n"/>
      <c r="C182" s="7" t="n"/>
      <c r="D182" s="8" t="n"/>
      <c r="E182" s="9" t="n"/>
      <c r="F182" s="10">
        <f>IF($A182="","",IF(OR($D182="",$E182=""),"",$D182*$E182))</f>
        <v/>
      </c>
      <c r="G182" s="7" t="n"/>
      <c r="H182" s="11" t="n"/>
      <c r="I182" s="12">
        <f>IF($A182="","",IF($H182="","",$H182+IFERROR(VLOOKUP($B182,Suppliers!$A$5:$I$54,7,FALSE),0)))</f>
        <v/>
      </c>
      <c r="J182" s="8" t="n"/>
      <c r="K182" s="11" t="n"/>
      <c r="L182" s="13">
        <f>IF($A182="","",IF($D182="","",$D182-$J182))</f>
        <v/>
      </c>
      <c r="M182" s="10">
        <f>IF($A182="","",IF(OR($L182="",$E182=""),"",$L182*$E182))</f>
        <v/>
      </c>
      <c r="N182" s="14">
        <f>IF($A182="","",IF($D182="","",IF($J182&gt;=$D182,"Received",IF($J182&gt;0,"Part received","Open"))))</f>
        <v/>
      </c>
      <c r="O182" s="13">
        <f>IF($A182="","",IF($L182="","",IF($L182&lt;=0,"",IF($I182="","",MAX(0,TODAY()-$I182)))))</f>
        <v/>
      </c>
      <c r="P182" s="13">
        <f>IF($A182="","",IFERROR(RIGHT($A182,4)*1,""))</f>
        <v/>
      </c>
      <c r="Q182" s="13">
        <f>IF($A182="","",COUNTIFS($A$5:$A182,$A182))</f>
        <v/>
      </c>
      <c r="R182" s="14">
        <f>IF($A182="","",$A182&amp;"|"&amp;$Q182)</f>
        <v/>
      </c>
      <c r="S182" s="13">
        <f>IF($A182="","",IF($Q182=1,MAX($S$4:$S181)+1,""))</f>
        <v/>
      </c>
      <c r="T182" s="13">
        <f>IF($S182="","",IF(SUMIFS($L$5:$L$204,$A$5:$A$204,$A182)&gt;0,1,0))</f>
        <v/>
      </c>
    </row>
    <row r="183">
      <c r="A183" s="7" t="n"/>
      <c r="B183" s="7" t="n"/>
      <c r="C183" s="7" t="n"/>
      <c r="D183" s="8" t="n"/>
      <c r="E183" s="9" t="n"/>
      <c r="F183" s="10">
        <f>IF($A183="","",IF(OR($D183="",$E183=""),"",$D183*$E183))</f>
        <v/>
      </c>
      <c r="G183" s="7" t="n"/>
      <c r="H183" s="11" t="n"/>
      <c r="I183" s="12">
        <f>IF($A183="","",IF($H183="","",$H183+IFERROR(VLOOKUP($B183,Suppliers!$A$5:$I$54,7,FALSE),0)))</f>
        <v/>
      </c>
      <c r="J183" s="8" t="n"/>
      <c r="K183" s="11" t="n"/>
      <c r="L183" s="13">
        <f>IF($A183="","",IF($D183="","",$D183-$J183))</f>
        <v/>
      </c>
      <c r="M183" s="10">
        <f>IF($A183="","",IF(OR($L183="",$E183=""),"",$L183*$E183))</f>
        <v/>
      </c>
      <c r="N183" s="14">
        <f>IF($A183="","",IF($D183="","",IF($J183&gt;=$D183,"Received",IF($J183&gt;0,"Part received","Open"))))</f>
        <v/>
      </c>
      <c r="O183" s="13">
        <f>IF($A183="","",IF($L183="","",IF($L183&lt;=0,"",IF($I183="","",MAX(0,TODAY()-$I183)))))</f>
        <v/>
      </c>
      <c r="P183" s="13">
        <f>IF($A183="","",IFERROR(RIGHT($A183,4)*1,""))</f>
        <v/>
      </c>
      <c r="Q183" s="13">
        <f>IF($A183="","",COUNTIFS($A$5:$A183,$A183))</f>
        <v/>
      </c>
      <c r="R183" s="14">
        <f>IF($A183="","",$A183&amp;"|"&amp;$Q183)</f>
        <v/>
      </c>
      <c r="S183" s="13">
        <f>IF($A183="","",IF($Q183=1,MAX($S$4:$S182)+1,""))</f>
        <v/>
      </c>
      <c r="T183" s="13">
        <f>IF($S183="","",IF(SUMIFS($L$5:$L$204,$A$5:$A$204,$A183)&gt;0,1,0))</f>
        <v/>
      </c>
    </row>
    <row r="184">
      <c r="A184" s="7" t="n"/>
      <c r="B184" s="7" t="n"/>
      <c r="C184" s="7" t="n"/>
      <c r="D184" s="8" t="n"/>
      <c r="E184" s="9" t="n"/>
      <c r="F184" s="10">
        <f>IF($A184="","",IF(OR($D184="",$E184=""),"",$D184*$E184))</f>
        <v/>
      </c>
      <c r="G184" s="7" t="n"/>
      <c r="H184" s="11" t="n"/>
      <c r="I184" s="12">
        <f>IF($A184="","",IF($H184="","",$H184+IFERROR(VLOOKUP($B184,Suppliers!$A$5:$I$54,7,FALSE),0)))</f>
        <v/>
      </c>
      <c r="J184" s="8" t="n"/>
      <c r="K184" s="11" t="n"/>
      <c r="L184" s="13">
        <f>IF($A184="","",IF($D184="","",$D184-$J184))</f>
        <v/>
      </c>
      <c r="M184" s="10">
        <f>IF($A184="","",IF(OR($L184="",$E184=""),"",$L184*$E184))</f>
        <v/>
      </c>
      <c r="N184" s="14">
        <f>IF($A184="","",IF($D184="","",IF($J184&gt;=$D184,"Received",IF($J184&gt;0,"Part received","Open"))))</f>
        <v/>
      </c>
      <c r="O184" s="13">
        <f>IF($A184="","",IF($L184="","",IF($L184&lt;=0,"",IF($I184="","",MAX(0,TODAY()-$I184)))))</f>
        <v/>
      </c>
      <c r="P184" s="13">
        <f>IF($A184="","",IFERROR(RIGHT($A184,4)*1,""))</f>
        <v/>
      </c>
      <c r="Q184" s="13">
        <f>IF($A184="","",COUNTIFS($A$5:$A184,$A184))</f>
        <v/>
      </c>
      <c r="R184" s="14">
        <f>IF($A184="","",$A184&amp;"|"&amp;$Q184)</f>
        <v/>
      </c>
      <c r="S184" s="13">
        <f>IF($A184="","",IF($Q184=1,MAX($S$4:$S183)+1,""))</f>
        <v/>
      </c>
      <c r="T184" s="13">
        <f>IF($S184="","",IF(SUMIFS($L$5:$L$204,$A$5:$A$204,$A184)&gt;0,1,0))</f>
        <v/>
      </c>
    </row>
    <row r="185">
      <c r="A185" s="7" t="n"/>
      <c r="B185" s="7" t="n"/>
      <c r="C185" s="7" t="n"/>
      <c r="D185" s="8" t="n"/>
      <c r="E185" s="9" t="n"/>
      <c r="F185" s="10">
        <f>IF($A185="","",IF(OR($D185="",$E185=""),"",$D185*$E185))</f>
        <v/>
      </c>
      <c r="G185" s="7" t="n"/>
      <c r="H185" s="11" t="n"/>
      <c r="I185" s="12">
        <f>IF($A185="","",IF($H185="","",$H185+IFERROR(VLOOKUP($B185,Suppliers!$A$5:$I$54,7,FALSE),0)))</f>
        <v/>
      </c>
      <c r="J185" s="8" t="n"/>
      <c r="K185" s="11" t="n"/>
      <c r="L185" s="13">
        <f>IF($A185="","",IF($D185="","",$D185-$J185))</f>
        <v/>
      </c>
      <c r="M185" s="10">
        <f>IF($A185="","",IF(OR($L185="",$E185=""),"",$L185*$E185))</f>
        <v/>
      </c>
      <c r="N185" s="14">
        <f>IF($A185="","",IF($D185="","",IF($J185&gt;=$D185,"Received",IF($J185&gt;0,"Part received","Open"))))</f>
        <v/>
      </c>
      <c r="O185" s="13">
        <f>IF($A185="","",IF($L185="","",IF($L185&lt;=0,"",IF($I185="","",MAX(0,TODAY()-$I185)))))</f>
        <v/>
      </c>
      <c r="P185" s="13">
        <f>IF($A185="","",IFERROR(RIGHT($A185,4)*1,""))</f>
        <v/>
      </c>
      <c r="Q185" s="13">
        <f>IF($A185="","",COUNTIFS($A$5:$A185,$A185))</f>
        <v/>
      </c>
      <c r="R185" s="14">
        <f>IF($A185="","",$A185&amp;"|"&amp;$Q185)</f>
        <v/>
      </c>
      <c r="S185" s="13">
        <f>IF($A185="","",IF($Q185=1,MAX($S$4:$S184)+1,""))</f>
        <v/>
      </c>
      <c r="T185" s="13">
        <f>IF($S185="","",IF(SUMIFS($L$5:$L$204,$A$5:$A$204,$A185)&gt;0,1,0))</f>
        <v/>
      </c>
    </row>
    <row r="186">
      <c r="A186" s="7" t="n"/>
      <c r="B186" s="7" t="n"/>
      <c r="C186" s="7" t="n"/>
      <c r="D186" s="8" t="n"/>
      <c r="E186" s="9" t="n"/>
      <c r="F186" s="10">
        <f>IF($A186="","",IF(OR($D186="",$E186=""),"",$D186*$E186))</f>
        <v/>
      </c>
      <c r="G186" s="7" t="n"/>
      <c r="H186" s="11" t="n"/>
      <c r="I186" s="12">
        <f>IF($A186="","",IF($H186="","",$H186+IFERROR(VLOOKUP($B186,Suppliers!$A$5:$I$54,7,FALSE),0)))</f>
        <v/>
      </c>
      <c r="J186" s="8" t="n"/>
      <c r="K186" s="11" t="n"/>
      <c r="L186" s="13">
        <f>IF($A186="","",IF($D186="","",$D186-$J186))</f>
        <v/>
      </c>
      <c r="M186" s="10">
        <f>IF($A186="","",IF(OR($L186="",$E186=""),"",$L186*$E186))</f>
        <v/>
      </c>
      <c r="N186" s="14">
        <f>IF($A186="","",IF($D186="","",IF($J186&gt;=$D186,"Received",IF($J186&gt;0,"Part received","Open"))))</f>
        <v/>
      </c>
      <c r="O186" s="13">
        <f>IF($A186="","",IF($L186="","",IF($L186&lt;=0,"",IF($I186="","",MAX(0,TODAY()-$I186)))))</f>
        <v/>
      </c>
      <c r="P186" s="13">
        <f>IF($A186="","",IFERROR(RIGHT($A186,4)*1,""))</f>
        <v/>
      </c>
      <c r="Q186" s="13">
        <f>IF($A186="","",COUNTIFS($A$5:$A186,$A186))</f>
        <v/>
      </c>
      <c r="R186" s="14">
        <f>IF($A186="","",$A186&amp;"|"&amp;$Q186)</f>
        <v/>
      </c>
      <c r="S186" s="13">
        <f>IF($A186="","",IF($Q186=1,MAX($S$4:$S185)+1,""))</f>
        <v/>
      </c>
      <c r="T186" s="13">
        <f>IF($S186="","",IF(SUMIFS($L$5:$L$204,$A$5:$A$204,$A186)&gt;0,1,0))</f>
        <v/>
      </c>
    </row>
    <row r="187">
      <c r="A187" s="7" t="n"/>
      <c r="B187" s="7" t="n"/>
      <c r="C187" s="7" t="n"/>
      <c r="D187" s="8" t="n"/>
      <c r="E187" s="9" t="n"/>
      <c r="F187" s="10">
        <f>IF($A187="","",IF(OR($D187="",$E187=""),"",$D187*$E187))</f>
        <v/>
      </c>
      <c r="G187" s="7" t="n"/>
      <c r="H187" s="11" t="n"/>
      <c r="I187" s="12">
        <f>IF($A187="","",IF($H187="","",$H187+IFERROR(VLOOKUP($B187,Suppliers!$A$5:$I$54,7,FALSE),0)))</f>
        <v/>
      </c>
      <c r="J187" s="8" t="n"/>
      <c r="K187" s="11" t="n"/>
      <c r="L187" s="13">
        <f>IF($A187="","",IF($D187="","",$D187-$J187))</f>
        <v/>
      </c>
      <c r="M187" s="10">
        <f>IF($A187="","",IF(OR($L187="",$E187=""),"",$L187*$E187))</f>
        <v/>
      </c>
      <c r="N187" s="14">
        <f>IF($A187="","",IF($D187="","",IF($J187&gt;=$D187,"Received",IF($J187&gt;0,"Part received","Open"))))</f>
        <v/>
      </c>
      <c r="O187" s="13">
        <f>IF($A187="","",IF($L187="","",IF($L187&lt;=0,"",IF($I187="","",MAX(0,TODAY()-$I187)))))</f>
        <v/>
      </c>
      <c r="P187" s="13">
        <f>IF($A187="","",IFERROR(RIGHT($A187,4)*1,""))</f>
        <v/>
      </c>
      <c r="Q187" s="13">
        <f>IF($A187="","",COUNTIFS($A$5:$A187,$A187))</f>
        <v/>
      </c>
      <c r="R187" s="14">
        <f>IF($A187="","",$A187&amp;"|"&amp;$Q187)</f>
        <v/>
      </c>
      <c r="S187" s="13">
        <f>IF($A187="","",IF($Q187=1,MAX($S$4:$S186)+1,""))</f>
        <v/>
      </c>
      <c r="T187" s="13">
        <f>IF($S187="","",IF(SUMIFS($L$5:$L$204,$A$5:$A$204,$A187)&gt;0,1,0))</f>
        <v/>
      </c>
    </row>
    <row r="188">
      <c r="A188" s="7" t="n"/>
      <c r="B188" s="7" t="n"/>
      <c r="C188" s="7" t="n"/>
      <c r="D188" s="8" t="n"/>
      <c r="E188" s="9" t="n"/>
      <c r="F188" s="10">
        <f>IF($A188="","",IF(OR($D188="",$E188=""),"",$D188*$E188))</f>
        <v/>
      </c>
      <c r="G188" s="7" t="n"/>
      <c r="H188" s="11" t="n"/>
      <c r="I188" s="12">
        <f>IF($A188="","",IF($H188="","",$H188+IFERROR(VLOOKUP($B188,Suppliers!$A$5:$I$54,7,FALSE),0)))</f>
        <v/>
      </c>
      <c r="J188" s="8" t="n"/>
      <c r="K188" s="11" t="n"/>
      <c r="L188" s="13">
        <f>IF($A188="","",IF($D188="","",$D188-$J188))</f>
        <v/>
      </c>
      <c r="M188" s="10">
        <f>IF($A188="","",IF(OR($L188="",$E188=""),"",$L188*$E188))</f>
        <v/>
      </c>
      <c r="N188" s="14">
        <f>IF($A188="","",IF($D188="","",IF($J188&gt;=$D188,"Received",IF($J188&gt;0,"Part received","Open"))))</f>
        <v/>
      </c>
      <c r="O188" s="13">
        <f>IF($A188="","",IF($L188="","",IF($L188&lt;=0,"",IF($I188="","",MAX(0,TODAY()-$I188)))))</f>
        <v/>
      </c>
      <c r="P188" s="13">
        <f>IF($A188="","",IFERROR(RIGHT($A188,4)*1,""))</f>
        <v/>
      </c>
      <c r="Q188" s="13">
        <f>IF($A188="","",COUNTIFS($A$5:$A188,$A188))</f>
        <v/>
      </c>
      <c r="R188" s="14">
        <f>IF($A188="","",$A188&amp;"|"&amp;$Q188)</f>
        <v/>
      </c>
      <c r="S188" s="13">
        <f>IF($A188="","",IF($Q188=1,MAX($S$4:$S187)+1,""))</f>
        <v/>
      </c>
      <c r="T188" s="13">
        <f>IF($S188="","",IF(SUMIFS($L$5:$L$204,$A$5:$A$204,$A188)&gt;0,1,0))</f>
        <v/>
      </c>
    </row>
    <row r="189">
      <c r="A189" s="7" t="n"/>
      <c r="B189" s="7" t="n"/>
      <c r="C189" s="7" t="n"/>
      <c r="D189" s="8" t="n"/>
      <c r="E189" s="9" t="n"/>
      <c r="F189" s="10">
        <f>IF($A189="","",IF(OR($D189="",$E189=""),"",$D189*$E189))</f>
        <v/>
      </c>
      <c r="G189" s="7" t="n"/>
      <c r="H189" s="11" t="n"/>
      <c r="I189" s="12">
        <f>IF($A189="","",IF($H189="","",$H189+IFERROR(VLOOKUP($B189,Suppliers!$A$5:$I$54,7,FALSE),0)))</f>
        <v/>
      </c>
      <c r="J189" s="8" t="n"/>
      <c r="K189" s="11" t="n"/>
      <c r="L189" s="13">
        <f>IF($A189="","",IF($D189="","",$D189-$J189))</f>
        <v/>
      </c>
      <c r="M189" s="10">
        <f>IF($A189="","",IF(OR($L189="",$E189=""),"",$L189*$E189))</f>
        <v/>
      </c>
      <c r="N189" s="14">
        <f>IF($A189="","",IF($D189="","",IF($J189&gt;=$D189,"Received",IF($J189&gt;0,"Part received","Open"))))</f>
        <v/>
      </c>
      <c r="O189" s="13">
        <f>IF($A189="","",IF($L189="","",IF($L189&lt;=0,"",IF($I189="","",MAX(0,TODAY()-$I189)))))</f>
        <v/>
      </c>
      <c r="P189" s="13">
        <f>IF($A189="","",IFERROR(RIGHT($A189,4)*1,""))</f>
        <v/>
      </c>
      <c r="Q189" s="13">
        <f>IF($A189="","",COUNTIFS($A$5:$A189,$A189))</f>
        <v/>
      </c>
      <c r="R189" s="14">
        <f>IF($A189="","",$A189&amp;"|"&amp;$Q189)</f>
        <v/>
      </c>
      <c r="S189" s="13">
        <f>IF($A189="","",IF($Q189=1,MAX($S$4:$S188)+1,""))</f>
        <v/>
      </c>
      <c r="T189" s="13">
        <f>IF($S189="","",IF(SUMIFS($L$5:$L$204,$A$5:$A$204,$A189)&gt;0,1,0))</f>
        <v/>
      </c>
    </row>
    <row r="190">
      <c r="A190" s="7" t="n"/>
      <c r="B190" s="7" t="n"/>
      <c r="C190" s="7" t="n"/>
      <c r="D190" s="8" t="n"/>
      <c r="E190" s="9" t="n"/>
      <c r="F190" s="10">
        <f>IF($A190="","",IF(OR($D190="",$E190=""),"",$D190*$E190))</f>
        <v/>
      </c>
      <c r="G190" s="7" t="n"/>
      <c r="H190" s="11" t="n"/>
      <c r="I190" s="12">
        <f>IF($A190="","",IF($H190="","",$H190+IFERROR(VLOOKUP($B190,Suppliers!$A$5:$I$54,7,FALSE),0)))</f>
        <v/>
      </c>
      <c r="J190" s="8" t="n"/>
      <c r="K190" s="11" t="n"/>
      <c r="L190" s="13">
        <f>IF($A190="","",IF($D190="","",$D190-$J190))</f>
        <v/>
      </c>
      <c r="M190" s="10">
        <f>IF($A190="","",IF(OR($L190="",$E190=""),"",$L190*$E190))</f>
        <v/>
      </c>
      <c r="N190" s="14">
        <f>IF($A190="","",IF($D190="","",IF($J190&gt;=$D190,"Received",IF($J190&gt;0,"Part received","Open"))))</f>
        <v/>
      </c>
      <c r="O190" s="13">
        <f>IF($A190="","",IF($L190="","",IF($L190&lt;=0,"",IF($I190="","",MAX(0,TODAY()-$I190)))))</f>
        <v/>
      </c>
      <c r="P190" s="13">
        <f>IF($A190="","",IFERROR(RIGHT($A190,4)*1,""))</f>
        <v/>
      </c>
      <c r="Q190" s="13">
        <f>IF($A190="","",COUNTIFS($A$5:$A190,$A190))</f>
        <v/>
      </c>
      <c r="R190" s="14">
        <f>IF($A190="","",$A190&amp;"|"&amp;$Q190)</f>
        <v/>
      </c>
      <c r="S190" s="13">
        <f>IF($A190="","",IF($Q190=1,MAX($S$4:$S189)+1,""))</f>
        <v/>
      </c>
      <c r="T190" s="13">
        <f>IF($S190="","",IF(SUMIFS($L$5:$L$204,$A$5:$A$204,$A190)&gt;0,1,0))</f>
        <v/>
      </c>
    </row>
    <row r="191">
      <c r="A191" s="7" t="n"/>
      <c r="B191" s="7" t="n"/>
      <c r="C191" s="7" t="n"/>
      <c r="D191" s="8" t="n"/>
      <c r="E191" s="9" t="n"/>
      <c r="F191" s="10">
        <f>IF($A191="","",IF(OR($D191="",$E191=""),"",$D191*$E191))</f>
        <v/>
      </c>
      <c r="G191" s="7" t="n"/>
      <c r="H191" s="11" t="n"/>
      <c r="I191" s="12">
        <f>IF($A191="","",IF($H191="","",$H191+IFERROR(VLOOKUP($B191,Suppliers!$A$5:$I$54,7,FALSE),0)))</f>
        <v/>
      </c>
      <c r="J191" s="8" t="n"/>
      <c r="K191" s="11" t="n"/>
      <c r="L191" s="13">
        <f>IF($A191="","",IF($D191="","",$D191-$J191))</f>
        <v/>
      </c>
      <c r="M191" s="10">
        <f>IF($A191="","",IF(OR($L191="",$E191=""),"",$L191*$E191))</f>
        <v/>
      </c>
      <c r="N191" s="14">
        <f>IF($A191="","",IF($D191="","",IF($J191&gt;=$D191,"Received",IF($J191&gt;0,"Part received","Open"))))</f>
        <v/>
      </c>
      <c r="O191" s="13">
        <f>IF($A191="","",IF($L191="","",IF($L191&lt;=0,"",IF($I191="","",MAX(0,TODAY()-$I191)))))</f>
        <v/>
      </c>
      <c r="P191" s="13">
        <f>IF($A191="","",IFERROR(RIGHT($A191,4)*1,""))</f>
        <v/>
      </c>
      <c r="Q191" s="13">
        <f>IF($A191="","",COUNTIFS($A$5:$A191,$A191))</f>
        <v/>
      </c>
      <c r="R191" s="14">
        <f>IF($A191="","",$A191&amp;"|"&amp;$Q191)</f>
        <v/>
      </c>
      <c r="S191" s="13">
        <f>IF($A191="","",IF($Q191=1,MAX($S$4:$S190)+1,""))</f>
        <v/>
      </c>
      <c r="T191" s="13">
        <f>IF($S191="","",IF(SUMIFS($L$5:$L$204,$A$5:$A$204,$A191)&gt;0,1,0))</f>
        <v/>
      </c>
    </row>
    <row r="192">
      <c r="A192" s="7" t="n"/>
      <c r="B192" s="7" t="n"/>
      <c r="C192" s="7" t="n"/>
      <c r="D192" s="8" t="n"/>
      <c r="E192" s="9" t="n"/>
      <c r="F192" s="10">
        <f>IF($A192="","",IF(OR($D192="",$E192=""),"",$D192*$E192))</f>
        <v/>
      </c>
      <c r="G192" s="7" t="n"/>
      <c r="H192" s="11" t="n"/>
      <c r="I192" s="12">
        <f>IF($A192="","",IF($H192="","",$H192+IFERROR(VLOOKUP($B192,Suppliers!$A$5:$I$54,7,FALSE),0)))</f>
        <v/>
      </c>
      <c r="J192" s="8" t="n"/>
      <c r="K192" s="11" t="n"/>
      <c r="L192" s="13">
        <f>IF($A192="","",IF($D192="","",$D192-$J192))</f>
        <v/>
      </c>
      <c r="M192" s="10">
        <f>IF($A192="","",IF(OR($L192="",$E192=""),"",$L192*$E192))</f>
        <v/>
      </c>
      <c r="N192" s="14">
        <f>IF($A192="","",IF($D192="","",IF($J192&gt;=$D192,"Received",IF($J192&gt;0,"Part received","Open"))))</f>
        <v/>
      </c>
      <c r="O192" s="13">
        <f>IF($A192="","",IF($L192="","",IF($L192&lt;=0,"",IF($I192="","",MAX(0,TODAY()-$I192)))))</f>
        <v/>
      </c>
      <c r="P192" s="13">
        <f>IF($A192="","",IFERROR(RIGHT($A192,4)*1,""))</f>
        <v/>
      </c>
      <c r="Q192" s="13">
        <f>IF($A192="","",COUNTIFS($A$5:$A192,$A192))</f>
        <v/>
      </c>
      <c r="R192" s="14">
        <f>IF($A192="","",$A192&amp;"|"&amp;$Q192)</f>
        <v/>
      </c>
      <c r="S192" s="13">
        <f>IF($A192="","",IF($Q192=1,MAX($S$4:$S191)+1,""))</f>
        <v/>
      </c>
      <c r="T192" s="13">
        <f>IF($S192="","",IF(SUMIFS($L$5:$L$204,$A$5:$A$204,$A192)&gt;0,1,0))</f>
        <v/>
      </c>
    </row>
    <row r="193">
      <c r="A193" s="7" t="n"/>
      <c r="B193" s="7" t="n"/>
      <c r="C193" s="7" t="n"/>
      <c r="D193" s="8" t="n"/>
      <c r="E193" s="9" t="n"/>
      <c r="F193" s="10">
        <f>IF($A193="","",IF(OR($D193="",$E193=""),"",$D193*$E193))</f>
        <v/>
      </c>
      <c r="G193" s="7" t="n"/>
      <c r="H193" s="11" t="n"/>
      <c r="I193" s="12">
        <f>IF($A193="","",IF($H193="","",$H193+IFERROR(VLOOKUP($B193,Suppliers!$A$5:$I$54,7,FALSE),0)))</f>
        <v/>
      </c>
      <c r="J193" s="8" t="n"/>
      <c r="K193" s="11" t="n"/>
      <c r="L193" s="13">
        <f>IF($A193="","",IF($D193="","",$D193-$J193))</f>
        <v/>
      </c>
      <c r="M193" s="10">
        <f>IF($A193="","",IF(OR($L193="",$E193=""),"",$L193*$E193))</f>
        <v/>
      </c>
      <c r="N193" s="14">
        <f>IF($A193="","",IF($D193="","",IF($J193&gt;=$D193,"Received",IF($J193&gt;0,"Part received","Open"))))</f>
        <v/>
      </c>
      <c r="O193" s="13">
        <f>IF($A193="","",IF($L193="","",IF($L193&lt;=0,"",IF($I193="","",MAX(0,TODAY()-$I193)))))</f>
        <v/>
      </c>
      <c r="P193" s="13">
        <f>IF($A193="","",IFERROR(RIGHT($A193,4)*1,""))</f>
        <v/>
      </c>
      <c r="Q193" s="13">
        <f>IF($A193="","",COUNTIFS($A$5:$A193,$A193))</f>
        <v/>
      </c>
      <c r="R193" s="14">
        <f>IF($A193="","",$A193&amp;"|"&amp;$Q193)</f>
        <v/>
      </c>
      <c r="S193" s="13">
        <f>IF($A193="","",IF($Q193=1,MAX($S$4:$S192)+1,""))</f>
        <v/>
      </c>
      <c r="T193" s="13">
        <f>IF($S193="","",IF(SUMIFS($L$5:$L$204,$A$5:$A$204,$A193)&gt;0,1,0))</f>
        <v/>
      </c>
    </row>
    <row r="194">
      <c r="A194" s="7" t="n"/>
      <c r="B194" s="7" t="n"/>
      <c r="C194" s="7" t="n"/>
      <c r="D194" s="8" t="n"/>
      <c r="E194" s="9" t="n"/>
      <c r="F194" s="10">
        <f>IF($A194="","",IF(OR($D194="",$E194=""),"",$D194*$E194))</f>
        <v/>
      </c>
      <c r="G194" s="7" t="n"/>
      <c r="H194" s="11" t="n"/>
      <c r="I194" s="12">
        <f>IF($A194="","",IF($H194="","",$H194+IFERROR(VLOOKUP($B194,Suppliers!$A$5:$I$54,7,FALSE),0)))</f>
        <v/>
      </c>
      <c r="J194" s="8" t="n"/>
      <c r="K194" s="11" t="n"/>
      <c r="L194" s="13">
        <f>IF($A194="","",IF($D194="","",$D194-$J194))</f>
        <v/>
      </c>
      <c r="M194" s="10">
        <f>IF($A194="","",IF(OR($L194="",$E194=""),"",$L194*$E194))</f>
        <v/>
      </c>
      <c r="N194" s="14">
        <f>IF($A194="","",IF($D194="","",IF($J194&gt;=$D194,"Received",IF($J194&gt;0,"Part received","Open"))))</f>
        <v/>
      </c>
      <c r="O194" s="13">
        <f>IF($A194="","",IF($L194="","",IF($L194&lt;=0,"",IF($I194="","",MAX(0,TODAY()-$I194)))))</f>
        <v/>
      </c>
      <c r="P194" s="13">
        <f>IF($A194="","",IFERROR(RIGHT($A194,4)*1,""))</f>
        <v/>
      </c>
      <c r="Q194" s="13">
        <f>IF($A194="","",COUNTIFS($A$5:$A194,$A194))</f>
        <v/>
      </c>
      <c r="R194" s="14">
        <f>IF($A194="","",$A194&amp;"|"&amp;$Q194)</f>
        <v/>
      </c>
      <c r="S194" s="13">
        <f>IF($A194="","",IF($Q194=1,MAX($S$4:$S193)+1,""))</f>
        <v/>
      </c>
      <c r="T194" s="13">
        <f>IF($S194="","",IF(SUMIFS($L$5:$L$204,$A$5:$A$204,$A194)&gt;0,1,0))</f>
        <v/>
      </c>
    </row>
    <row r="195">
      <c r="A195" s="7" t="n"/>
      <c r="B195" s="7" t="n"/>
      <c r="C195" s="7" t="n"/>
      <c r="D195" s="8" t="n"/>
      <c r="E195" s="9" t="n"/>
      <c r="F195" s="10">
        <f>IF($A195="","",IF(OR($D195="",$E195=""),"",$D195*$E195))</f>
        <v/>
      </c>
      <c r="G195" s="7" t="n"/>
      <c r="H195" s="11" t="n"/>
      <c r="I195" s="12">
        <f>IF($A195="","",IF($H195="","",$H195+IFERROR(VLOOKUP($B195,Suppliers!$A$5:$I$54,7,FALSE),0)))</f>
        <v/>
      </c>
      <c r="J195" s="8" t="n"/>
      <c r="K195" s="11" t="n"/>
      <c r="L195" s="13">
        <f>IF($A195="","",IF($D195="","",$D195-$J195))</f>
        <v/>
      </c>
      <c r="M195" s="10">
        <f>IF($A195="","",IF(OR($L195="",$E195=""),"",$L195*$E195))</f>
        <v/>
      </c>
      <c r="N195" s="14">
        <f>IF($A195="","",IF($D195="","",IF($J195&gt;=$D195,"Received",IF($J195&gt;0,"Part received","Open"))))</f>
        <v/>
      </c>
      <c r="O195" s="13">
        <f>IF($A195="","",IF($L195="","",IF($L195&lt;=0,"",IF($I195="","",MAX(0,TODAY()-$I195)))))</f>
        <v/>
      </c>
      <c r="P195" s="13">
        <f>IF($A195="","",IFERROR(RIGHT($A195,4)*1,""))</f>
        <v/>
      </c>
      <c r="Q195" s="13">
        <f>IF($A195="","",COUNTIFS($A$5:$A195,$A195))</f>
        <v/>
      </c>
      <c r="R195" s="14">
        <f>IF($A195="","",$A195&amp;"|"&amp;$Q195)</f>
        <v/>
      </c>
      <c r="S195" s="13">
        <f>IF($A195="","",IF($Q195=1,MAX($S$4:$S194)+1,""))</f>
        <v/>
      </c>
      <c r="T195" s="13">
        <f>IF($S195="","",IF(SUMIFS($L$5:$L$204,$A$5:$A$204,$A195)&gt;0,1,0))</f>
        <v/>
      </c>
    </row>
    <row r="196">
      <c r="A196" s="7" t="n"/>
      <c r="B196" s="7" t="n"/>
      <c r="C196" s="7" t="n"/>
      <c r="D196" s="8" t="n"/>
      <c r="E196" s="9" t="n"/>
      <c r="F196" s="10">
        <f>IF($A196="","",IF(OR($D196="",$E196=""),"",$D196*$E196))</f>
        <v/>
      </c>
      <c r="G196" s="7" t="n"/>
      <c r="H196" s="11" t="n"/>
      <c r="I196" s="12">
        <f>IF($A196="","",IF($H196="","",$H196+IFERROR(VLOOKUP($B196,Suppliers!$A$5:$I$54,7,FALSE),0)))</f>
        <v/>
      </c>
      <c r="J196" s="8" t="n"/>
      <c r="K196" s="11" t="n"/>
      <c r="L196" s="13">
        <f>IF($A196="","",IF($D196="","",$D196-$J196))</f>
        <v/>
      </c>
      <c r="M196" s="10">
        <f>IF($A196="","",IF(OR($L196="",$E196=""),"",$L196*$E196))</f>
        <v/>
      </c>
      <c r="N196" s="14">
        <f>IF($A196="","",IF($D196="","",IF($J196&gt;=$D196,"Received",IF($J196&gt;0,"Part received","Open"))))</f>
        <v/>
      </c>
      <c r="O196" s="13">
        <f>IF($A196="","",IF($L196="","",IF($L196&lt;=0,"",IF($I196="","",MAX(0,TODAY()-$I196)))))</f>
        <v/>
      </c>
      <c r="P196" s="13">
        <f>IF($A196="","",IFERROR(RIGHT($A196,4)*1,""))</f>
        <v/>
      </c>
      <c r="Q196" s="13">
        <f>IF($A196="","",COUNTIFS($A$5:$A196,$A196))</f>
        <v/>
      </c>
      <c r="R196" s="14">
        <f>IF($A196="","",$A196&amp;"|"&amp;$Q196)</f>
        <v/>
      </c>
      <c r="S196" s="13">
        <f>IF($A196="","",IF($Q196=1,MAX($S$4:$S195)+1,""))</f>
        <v/>
      </c>
      <c r="T196" s="13">
        <f>IF($S196="","",IF(SUMIFS($L$5:$L$204,$A$5:$A$204,$A196)&gt;0,1,0))</f>
        <v/>
      </c>
    </row>
    <row r="197">
      <c r="A197" s="7" t="n"/>
      <c r="B197" s="7" t="n"/>
      <c r="C197" s="7" t="n"/>
      <c r="D197" s="8" t="n"/>
      <c r="E197" s="9" t="n"/>
      <c r="F197" s="10">
        <f>IF($A197="","",IF(OR($D197="",$E197=""),"",$D197*$E197))</f>
        <v/>
      </c>
      <c r="G197" s="7" t="n"/>
      <c r="H197" s="11" t="n"/>
      <c r="I197" s="12">
        <f>IF($A197="","",IF($H197="","",$H197+IFERROR(VLOOKUP($B197,Suppliers!$A$5:$I$54,7,FALSE),0)))</f>
        <v/>
      </c>
      <c r="J197" s="8" t="n"/>
      <c r="K197" s="11" t="n"/>
      <c r="L197" s="13">
        <f>IF($A197="","",IF($D197="","",$D197-$J197))</f>
        <v/>
      </c>
      <c r="M197" s="10">
        <f>IF($A197="","",IF(OR($L197="",$E197=""),"",$L197*$E197))</f>
        <v/>
      </c>
      <c r="N197" s="14">
        <f>IF($A197="","",IF($D197="","",IF($J197&gt;=$D197,"Received",IF($J197&gt;0,"Part received","Open"))))</f>
        <v/>
      </c>
      <c r="O197" s="13">
        <f>IF($A197="","",IF($L197="","",IF($L197&lt;=0,"",IF($I197="","",MAX(0,TODAY()-$I197)))))</f>
        <v/>
      </c>
      <c r="P197" s="13">
        <f>IF($A197="","",IFERROR(RIGHT($A197,4)*1,""))</f>
        <v/>
      </c>
      <c r="Q197" s="13">
        <f>IF($A197="","",COUNTIFS($A$5:$A197,$A197))</f>
        <v/>
      </c>
      <c r="R197" s="14">
        <f>IF($A197="","",$A197&amp;"|"&amp;$Q197)</f>
        <v/>
      </c>
      <c r="S197" s="13">
        <f>IF($A197="","",IF($Q197=1,MAX($S$4:$S196)+1,""))</f>
        <v/>
      </c>
      <c r="T197" s="13">
        <f>IF($S197="","",IF(SUMIFS($L$5:$L$204,$A$5:$A$204,$A197)&gt;0,1,0))</f>
        <v/>
      </c>
    </row>
    <row r="198">
      <c r="A198" s="7" t="n"/>
      <c r="B198" s="7" t="n"/>
      <c r="C198" s="7" t="n"/>
      <c r="D198" s="8" t="n"/>
      <c r="E198" s="9" t="n"/>
      <c r="F198" s="10">
        <f>IF($A198="","",IF(OR($D198="",$E198=""),"",$D198*$E198))</f>
        <v/>
      </c>
      <c r="G198" s="7" t="n"/>
      <c r="H198" s="11" t="n"/>
      <c r="I198" s="12">
        <f>IF($A198="","",IF($H198="","",$H198+IFERROR(VLOOKUP($B198,Suppliers!$A$5:$I$54,7,FALSE),0)))</f>
        <v/>
      </c>
      <c r="J198" s="8" t="n"/>
      <c r="K198" s="11" t="n"/>
      <c r="L198" s="13">
        <f>IF($A198="","",IF($D198="","",$D198-$J198))</f>
        <v/>
      </c>
      <c r="M198" s="10">
        <f>IF($A198="","",IF(OR($L198="",$E198=""),"",$L198*$E198))</f>
        <v/>
      </c>
      <c r="N198" s="14">
        <f>IF($A198="","",IF($D198="","",IF($J198&gt;=$D198,"Received",IF($J198&gt;0,"Part received","Open"))))</f>
        <v/>
      </c>
      <c r="O198" s="13">
        <f>IF($A198="","",IF($L198="","",IF($L198&lt;=0,"",IF($I198="","",MAX(0,TODAY()-$I198)))))</f>
        <v/>
      </c>
      <c r="P198" s="13">
        <f>IF($A198="","",IFERROR(RIGHT($A198,4)*1,""))</f>
        <v/>
      </c>
      <c r="Q198" s="13">
        <f>IF($A198="","",COUNTIFS($A$5:$A198,$A198))</f>
        <v/>
      </c>
      <c r="R198" s="14">
        <f>IF($A198="","",$A198&amp;"|"&amp;$Q198)</f>
        <v/>
      </c>
      <c r="S198" s="13">
        <f>IF($A198="","",IF($Q198=1,MAX($S$4:$S197)+1,""))</f>
        <v/>
      </c>
      <c r="T198" s="13">
        <f>IF($S198="","",IF(SUMIFS($L$5:$L$204,$A$5:$A$204,$A198)&gt;0,1,0))</f>
        <v/>
      </c>
    </row>
    <row r="199">
      <c r="A199" s="7" t="n"/>
      <c r="B199" s="7" t="n"/>
      <c r="C199" s="7" t="n"/>
      <c r="D199" s="8" t="n"/>
      <c r="E199" s="9" t="n"/>
      <c r="F199" s="10">
        <f>IF($A199="","",IF(OR($D199="",$E199=""),"",$D199*$E199))</f>
        <v/>
      </c>
      <c r="G199" s="7" t="n"/>
      <c r="H199" s="11" t="n"/>
      <c r="I199" s="12">
        <f>IF($A199="","",IF($H199="","",$H199+IFERROR(VLOOKUP($B199,Suppliers!$A$5:$I$54,7,FALSE),0)))</f>
        <v/>
      </c>
      <c r="J199" s="8" t="n"/>
      <c r="K199" s="11" t="n"/>
      <c r="L199" s="13">
        <f>IF($A199="","",IF($D199="","",$D199-$J199))</f>
        <v/>
      </c>
      <c r="M199" s="10">
        <f>IF($A199="","",IF(OR($L199="",$E199=""),"",$L199*$E199))</f>
        <v/>
      </c>
      <c r="N199" s="14">
        <f>IF($A199="","",IF($D199="","",IF($J199&gt;=$D199,"Received",IF($J199&gt;0,"Part received","Open"))))</f>
        <v/>
      </c>
      <c r="O199" s="13">
        <f>IF($A199="","",IF($L199="","",IF($L199&lt;=0,"",IF($I199="","",MAX(0,TODAY()-$I199)))))</f>
        <v/>
      </c>
      <c r="P199" s="13">
        <f>IF($A199="","",IFERROR(RIGHT($A199,4)*1,""))</f>
        <v/>
      </c>
      <c r="Q199" s="13">
        <f>IF($A199="","",COUNTIFS($A$5:$A199,$A199))</f>
        <v/>
      </c>
      <c r="R199" s="14">
        <f>IF($A199="","",$A199&amp;"|"&amp;$Q199)</f>
        <v/>
      </c>
      <c r="S199" s="13">
        <f>IF($A199="","",IF($Q199=1,MAX($S$4:$S198)+1,""))</f>
        <v/>
      </c>
      <c r="T199" s="13">
        <f>IF($S199="","",IF(SUMIFS($L$5:$L$204,$A$5:$A$204,$A199)&gt;0,1,0))</f>
        <v/>
      </c>
    </row>
    <row r="200">
      <c r="A200" s="7" t="n"/>
      <c r="B200" s="7" t="n"/>
      <c r="C200" s="7" t="n"/>
      <c r="D200" s="8" t="n"/>
      <c r="E200" s="9" t="n"/>
      <c r="F200" s="10">
        <f>IF($A200="","",IF(OR($D200="",$E200=""),"",$D200*$E200))</f>
        <v/>
      </c>
      <c r="G200" s="7" t="n"/>
      <c r="H200" s="11" t="n"/>
      <c r="I200" s="12">
        <f>IF($A200="","",IF($H200="","",$H200+IFERROR(VLOOKUP($B200,Suppliers!$A$5:$I$54,7,FALSE),0)))</f>
        <v/>
      </c>
      <c r="J200" s="8" t="n"/>
      <c r="K200" s="11" t="n"/>
      <c r="L200" s="13">
        <f>IF($A200="","",IF($D200="","",$D200-$J200))</f>
        <v/>
      </c>
      <c r="M200" s="10">
        <f>IF($A200="","",IF(OR($L200="",$E200=""),"",$L200*$E200))</f>
        <v/>
      </c>
      <c r="N200" s="14">
        <f>IF($A200="","",IF($D200="","",IF($J200&gt;=$D200,"Received",IF($J200&gt;0,"Part received","Open"))))</f>
        <v/>
      </c>
      <c r="O200" s="13">
        <f>IF($A200="","",IF($L200="","",IF($L200&lt;=0,"",IF($I200="","",MAX(0,TODAY()-$I200)))))</f>
        <v/>
      </c>
      <c r="P200" s="13">
        <f>IF($A200="","",IFERROR(RIGHT($A200,4)*1,""))</f>
        <v/>
      </c>
      <c r="Q200" s="13">
        <f>IF($A200="","",COUNTIFS($A$5:$A200,$A200))</f>
        <v/>
      </c>
      <c r="R200" s="14">
        <f>IF($A200="","",$A200&amp;"|"&amp;$Q200)</f>
        <v/>
      </c>
      <c r="S200" s="13">
        <f>IF($A200="","",IF($Q200=1,MAX($S$4:$S199)+1,""))</f>
        <v/>
      </c>
      <c r="T200" s="13">
        <f>IF($S200="","",IF(SUMIFS($L$5:$L$204,$A$5:$A$204,$A200)&gt;0,1,0))</f>
        <v/>
      </c>
    </row>
    <row r="201">
      <c r="A201" s="7" t="n"/>
      <c r="B201" s="7" t="n"/>
      <c r="C201" s="7" t="n"/>
      <c r="D201" s="8" t="n"/>
      <c r="E201" s="9" t="n"/>
      <c r="F201" s="10">
        <f>IF($A201="","",IF(OR($D201="",$E201=""),"",$D201*$E201))</f>
        <v/>
      </c>
      <c r="G201" s="7" t="n"/>
      <c r="H201" s="11" t="n"/>
      <c r="I201" s="12">
        <f>IF($A201="","",IF($H201="","",$H201+IFERROR(VLOOKUP($B201,Suppliers!$A$5:$I$54,7,FALSE),0)))</f>
        <v/>
      </c>
      <c r="J201" s="8" t="n"/>
      <c r="K201" s="11" t="n"/>
      <c r="L201" s="13">
        <f>IF($A201="","",IF($D201="","",$D201-$J201))</f>
        <v/>
      </c>
      <c r="M201" s="10">
        <f>IF($A201="","",IF(OR($L201="",$E201=""),"",$L201*$E201))</f>
        <v/>
      </c>
      <c r="N201" s="14">
        <f>IF($A201="","",IF($D201="","",IF($J201&gt;=$D201,"Received",IF($J201&gt;0,"Part received","Open"))))</f>
        <v/>
      </c>
      <c r="O201" s="13">
        <f>IF($A201="","",IF($L201="","",IF($L201&lt;=0,"",IF($I201="","",MAX(0,TODAY()-$I201)))))</f>
        <v/>
      </c>
      <c r="P201" s="13">
        <f>IF($A201="","",IFERROR(RIGHT($A201,4)*1,""))</f>
        <v/>
      </c>
      <c r="Q201" s="13">
        <f>IF($A201="","",COUNTIFS($A$5:$A201,$A201))</f>
        <v/>
      </c>
      <c r="R201" s="14">
        <f>IF($A201="","",$A201&amp;"|"&amp;$Q201)</f>
        <v/>
      </c>
      <c r="S201" s="13">
        <f>IF($A201="","",IF($Q201=1,MAX($S$4:$S200)+1,""))</f>
        <v/>
      </c>
      <c r="T201" s="13">
        <f>IF($S201="","",IF(SUMIFS($L$5:$L$204,$A$5:$A$204,$A201)&gt;0,1,0))</f>
        <v/>
      </c>
    </row>
    <row r="202">
      <c r="A202" s="7" t="n"/>
      <c r="B202" s="7" t="n"/>
      <c r="C202" s="7" t="n"/>
      <c r="D202" s="8" t="n"/>
      <c r="E202" s="9" t="n"/>
      <c r="F202" s="10">
        <f>IF($A202="","",IF(OR($D202="",$E202=""),"",$D202*$E202))</f>
        <v/>
      </c>
      <c r="G202" s="7" t="n"/>
      <c r="H202" s="11" t="n"/>
      <c r="I202" s="12">
        <f>IF($A202="","",IF($H202="","",$H202+IFERROR(VLOOKUP($B202,Suppliers!$A$5:$I$54,7,FALSE),0)))</f>
        <v/>
      </c>
      <c r="J202" s="8" t="n"/>
      <c r="K202" s="11" t="n"/>
      <c r="L202" s="13">
        <f>IF($A202="","",IF($D202="","",$D202-$J202))</f>
        <v/>
      </c>
      <c r="M202" s="10">
        <f>IF($A202="","",IF(OR($L202="",$E202=""),"",$L202*$E202))</f>
        <v/>
      </c>
      <c r="N202" s="14">
        <f>IF($A202="","",IF($D202="","",IF($J202&gt;=$D202,"Received",IF($J202&gt;0,"Part received","Open"))))</f>
        <v/>
      </c>
      <c r="O202" s="13">
        <f>IF($A202="","",IF($L202="","",IF($L202&lt;=0,"",IF($I202="","",MAX(0,TODAY()-$I202)))))</f>
        <v/>
      </c>
      <c r="P202" s="13">
        <f>IF($A202="","",IFERROR(RIGHT($A202,4)*1,""))</f>
        <v/>
      </c>
      <c r="Q202" s="13">
        <f>IF($A202="","",COUNTIFS($A$5:$A202,$A202))</f>
        <v/>
      </c>
      <c r="R202" s="14">
        <f>IF($A202="","",$A202&amp;"|"&amp;$Q202)</f>
        <v/>
      </c>
      <c r="S202" s="13">
        <f>IF($A202="","",IF($Q202=1,MAX($S$4:$S201)+1,""))</f>
        <v/>
      </c>
      <c r="T202" s="13">
        <f>IF($S202="","",IF(SUMIFS($L$5:$L$204,$A$5:$A$204,$A202)&gt;0,1,0))</f>
        <v/>
      </c>
    </row>
    <row r="203">
      <c r="A203" s="7" t="n"/>
      <c r="B203" s="7" t="n"/>
      <c r="C203" s="7" t="n"/>
      <c r="D203" s="8" t="n"/>
      <c r="E203" s="9" t="n"/>
      <c r="F203" s="10">
        <f>IF($A203="","",IF(OR($D203="",$E203=""),"",$D203*$E203))</f>
        <v/>
      </c>
      <c r="G203" s="7" t="n"/>
      <c r="H203" s="11" t="n"/>
      <c r="I203" s="12">
        <f>IF($A203="","",IF($H203="","",$H203+IFERROR(VLOOKUP($B203,Suppliers!$A$5:$I$54,7,FALSE),0)))</f>
        <v/>
      </c>
      <c r="J203" s="8" t="n"/>
      <c r="K203" s="11" t="n"/>
      <c r="L203" s="13">
        <f>IF($A203="","",IF($D203="","",$D203-$J203))</f>
        <v/>
      </c>
      <c r="M203" s="10">
        <f>IF($A203="","",IF(OR($L203="",$E203=""),"",$L203*$E203))</f>
        <v/>
      </c>
      <c r="N203" s="14">
        <f>IF($A203="","",IF($D203="","",IF($J203&gt;=$D203,"Received",IF($J203&gt;0,"Part received","Open"))))</f>
        <v/>
      </c>
      <c r="O203" s="13">
        <f>IF($A203="","",IF($L203="","",IF($L203&lt;=0,"",IF($I203="","",MAX(0,TODAY()-$I203)))))</f>
        <v/>
      </c>
      <c r="P203" s="13">
        <f>IF($A203="","",IFERROR(RIGHT($A203,4)*1,""))</f>
        <v/>
      </c>
      <c r="Q203" s="13">
        <f>IF($A203="","",COUNTIFS($A$5:$A203,$A203))</f>
        <v/>
      </c>
      <c r="R203" s="14">
        <f>IF($A203="","",$A203&amp;"|"&amp;$Q203)</f>
        <v/>
      </c>
      <c r="S203" s="13">
        <f>IF($A203="","",IF($Q203=1,MAX($S$4:$S202)+1,""))</f>
        <v/>
      </c>
      <c r="T203" s="13">
        <f>IF($S203="","",IF(SUMIFS($L$5:$L$204,$A$5:$A$204,$A203)&gt;0,1,0))</f>
        <v/>
      </c>
    </row>
    <row r="204">
      <c r="A204" s="7" t="n"/>
      <c r="B204" s="7" t="n"/>
      <c r="C204" s="7" t="n"/>
      <c r="D204" s="8" t="n"/>
      <c r="E204" s="9" t="n"/>
      <c r="F204" s="10">
        <f>IF($A204="","",IF(OR($D204="",$E204=""),"",$D204*$E204))</f>
        <v/>
      </c>
      <c r="G204" s="7" t="n"/>
      <c r="H204" s="11" t="n"/>
      <c r="I204" s="12">
        <f>IF($A204="","",IF($H204="","",$H204+IFERROR(VLOOKUP($B204,Suppliers!$A$5:$I$54,7,FALSE),0)))</f>
        <v/>
      </c>
      <c r="J204" s="8" t="n"/>
      <c r="K204" s="11" t="n"/>
      <c r="L204" s="13">
        <f>IF($A204="","",IF($D204="","",$D204-$J204))</f>
        <v/>
      </c>
      <c r="M204" s="10">
        <f>IF($A204="","",IF(OR($L204="",$E204=""),"",$L204*$E204))</f>
        <v/>
      </c>
      <c r="N204" s="14">
        <f>IF($A204="","",IF($D204="","",IF($J204&gt;=$D204,"Received",IF($J204&gt;0,"Part received","Open"))))</f>
        <v/>
      </c>
      <c r="O204" s="13">
        <f>IF($A204="","",IF($L204="","",IF($L204&lt;=0,"",IF($I204="","",MAX(0,TODAY()-$I204)))))</f>
        <v/>
      </c>
      <c r="P204" s="13">
        <f>IF($A204="","",IFERROR(RIGHT($A204,4)*1,""))</f>
        <v/>
      </c>
      <c r="Q204" s="13">
        <f>IF($A204="","",COUNTIFS($A$5:$A204,$A204))</f>
        <v/>
      </c>
      <c r="R204" s="14">
        <f>IF($A204="","",$A204&amp;"|"&amp;$Q204)</f>
        <v/>
      </c>
      <c r="S204" s="13">
        <f>IF($A204="","",IF($Q204=1,MAX($S$4:$S203)+1,""))</f>
        <v/>
      </c>
      <c r="T204" s="13">
        <f>IF($S204="","",IF(SUMIFS($L$5:$L$204,$A$5:$A$204,$A204)&gt;0,1,0))</f>
        <v/>
      </c>
    </row>
  </sheetData>
  <dataValidations count="1">
    <dataValidation sqref="B5:B204" showDropDown="0" showInputMessage="0" showErrorMessage="0" allowBlank="1" promptTitle="Supplier" prompt="Pick a supplier from the Suppliers tab. Add the supplier there first." type="list">
      <formula1>=Suppliers!$A$5:$A$54</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56"/>
  <sheetViews>
    <sheetView workbookViewId="0">
      <pane ySplit="4" topLeftCell="A5" activePane="bottomLeft" state="frozen"/>
      <selection pane="bottomLeft" activeCell="A1" sqref="A1"/>
    </sheetView>
  </sheetViews>
  <sheetFormatPr baseColWidth="8" defaultRowHeight="15"/>
  <cols>
    <col width="20" customWidth="1" min="1" max="1"/>
    <col width="18" customWidth="1" min="2" max="2"/>
    <col width="26" customWidth="1" min="3" max="3"/>
    <col width="16" customWidth="1" min="4" max="4"/>
    <col width="40" customWidth="1" min="5" max="5"/>
    <col width="12" customWidth="1" min="6" max="6"/>
    <col width="10" customWidth="1" min="7" max="7"/>
    <col width="9" customWidth="1" min="8" max="8"/>
    <col width="34" customWidth="1" min="9" max="9"/>
    <col width="12" customWidth="1" min="10" max="10"/>
    <col width="13" customWidth="1" min="11" max="11"/>
    <col width="10" customWidth="1" min="12" max="12"/>
    <col width="13" customWidth="1" min="13" max="13"/>
    <col width="10" customWidth="1" min="14" max="14"/>
    <col width="13" customWidth="1" min="15" max="15"/>
    <col width="11" customWidth="1" min="16" max="16"/>
  </cols>
  <sheetData>
    <row r="1">
      <c r="A1" s="1" t="inlineStr">
        <is>
          <t>Suppliers</t>
        </is>
      </c>
    </row>
    <row r="2">
      <c r="A2" s="2" t="inlineStr">
        <is>
          <t>Terms and lead times. Column G drives the expected delivery date on every line, so it is the one field worth keeping honest. Type A-I; J onwards is calculated from Lines.</t>
        </is>
      </c>
    </row>
    <row r="4">
      <c r="A4" s="6" t="inlineStr">
        <is>
          <t>Name</t>
        </is>
      </c>
      <c r="B4" s="6" t="inlineStr">
        <is>
          <t>Contact</t>
        </is>
      </c>
      <c r="C4" s="6" t="inlineStr">
        <is>
          <t>Email</t>
        </is>
      </c>
      <c r="D4" s="6" t="inlineStr">
        <is>
          <t>Phone</t>
        </is>
      </c>
      <c r="E4" s="6" t="inlineStr">
        <is>
          <t>Address</t>
        </is>
      </c>
      <c r="F4" s="6" t="inlineStr">
        <is>
          <t>Payment terms (days)</t>
        </is>
      </c>
      <c r="G4" s="6" t="inlineStr">
        <is>
          <t>Lead days</t>
        </is>
      </c>
      <c r="H4" s="6" t="inlineStr">
        <is>
          <t>Currency</t>
        </is>
      </c>
      <c r="I4" s="6" t="inlineStr">
        <is>
          <t>Notes</t>
        </is>
      </c>
      <c r="J4" s="6" t="inlineStr">
        <is>
          <t>Lines ordered</t>
        </is>
      </c>
      <c r="K4" s="6" t="inlineStr">
        <is>
          <t>Value ordered</t>
        </is>
      </c>
      <c r="L4" s="6" t="inlineStr">
        <is>
          <t>Open lines</t>
        </is>
      </c>
      <c r="M4" s="6" t="inlineStr">
        <is>
          <t>Outstanding value</t>
        </is>
      </c>
      <c r="N4" s="6" t="inlineStr">
        <is>
          <t>Lines late</t>
        </is>
      </c>
      <c r="O4" s="6" t="inlineStr">
        <is>
          <t>Lines 15+ days late</t>
        </is>
      </c>
      <c r="P4" s="6" t="inlineStr">
        <is>
          <t>Avg days late</t>
        </is>
      </c>
    </row>
    <row r="5">
      <c r="A5" s="7" t="inlineStr">
        <is>
          <t>Nordic Textiles</t>
        </is>
      </c>
      <c r="B5" s="7" t="inlineStr">
        <is>
          <t>Anja Lund</t>
        </is>
      </c>
      <c r="C5" s="7" t="inlineStr">
        <is>
          <t>orders@nordictextiles.example</t>
        </is>
      </c>
      <c r="D5" s="7" t="inlineStr">
        <is>
          <t>+45 33 12 44 90</t>
        </is>
      </c>
      <c r="E5" s="7" t="inlineStr">
        <is>
          <t>Havnegade 18, 1058 Copenhagen, Denmark</t>
        </is>
      </c>
      <c r="F5" s="8" t="n">
        <v>30</v>
      </c>
      <c r="G5" s="8" t="n">
        <v>14</v>
      </c>
      <c r="H5" s="7" t="inlineStr">
        <is>
          <t>EUR</t>
        </is>
      </c>
      <c r="I5" s="7" t="inlineStr">
        <is>
          <t>Cut-and-sew; lead time excludes the two-week August shutdown</t>
        </is>
      </c>
      <c r="J5" s="13">
        <f>IF($A5="","",COUNTIFS(Lines!$B$5:$B$204,$A5))</f>
        <v/>
      </c>
      <c r="K5" s="10">
        <f>IF($A5="","",SUMIFS(Lines!$F$5:$F$204,Lines!$B$5:$B$204,$A5))</f>
        <v/>
      </c>
      <c r="L5" s="13">
        <f>IF($A5="","",COUNTIFS(Lines!$B$5:$B$204,$A5,Lines!$L$5:$L$204,"&gt;0"))</f>
        <v/>
      </c>
      <c r="M5" s="10">
        <f>IF($A5="","",SUMIFS(Lines!$M$5:$M$204,Lines!$B$5:$B$204,$A5))</f>
        <v/>
      </c>
      <c r="N5" s="13">
        <f>IF($A5="","",COUNTIFS(Lines!$B$5:$B$204,$A5,Lines!$O$5:$O$204,"&gt;0"))</f>
        <v/>
      </c>
      <c r="O5" s="13">
        <f>IF($A5="","",COUNTIFS(Lines!$B$5:$B$204,$A5,Lines!$O$5:$O$204,"&gt;=15"))</f>
        <v/>
      </c>
      <c r="P5" s="15">
        <f>IF($A5="","",IFERROR(AVERAGEIFS(Lines!$O$5:$O$204,Lines!$B$5:$B$204,$A5,Lines!$O$5:$O$204,"&gt;0"),0))</f>
        <v/>
      </c>
    </row>
    <row r="6">
      <c r="A6" s="7" t="inlineStr">
        <is>
          <t>Baltic Packaging</t>
        </is>
      </c>
      <c r="B6" s="7" t="inlineStr">
        <is>
          <t>Rytis Petrauskas</t>
        </is>
      </c>
      <c r="C6" s="7" t="inlineStr">
        <is>
          <t>sales@balticpack.example</t>
        </is>
      </c>
      <c r="D6" s="7" t="inlineStr">
        <is>
          <t>+370 5 210 3388</t>
        </is>
      </c>
      <c r="E6" s="7" t="inlineStr">
        <is>
          <t>Savanoriu pr. 174, 03153 Vilnius, Lithuania</t>
        </is>
      </c>
      <c r="F6" s="8" t="n">
        <v>14</v>
      </c>
      <c r="G6" s="8" t="n">
        <v>7</v>
      </c>
      <c r="H6" s="7" t="inlineStr">
        <is>
          <t>EUR</t>
        </is>
      </c>
      <c r="I6" s="7" t="inlineStr">
        <is>
          <t>Pallet quantities only below 1,000 units</t>
        </is>
      </c>
      <c r="J6" s="13">
        <f>IF($A6="","",COUNTIFS(Lines!$B$5:$B$204,$A6))</f>
        <v/>
      </c>
      <c r="K6" s="10">
        <f>IF($A6="","",SUMIFS(Lines!$F$5:$F$204,Lines!$B$5:$B$204,$A6))</f>
        <v/>
      </c>
      <c r="L6" s="13">
        <f>IF($A6="","",COUNTIFS(Lines!$B$5:$B$204,$A6,Lines!$L$5:$L$204,"&gt;0"))</f>
        <v/>
      </c>
      <c r="M6" s="10">
        <f>IF($A6="","",SUMIFS(Lines!$M$5:$M$204,Lines!$B$5:$B$204,$A6))</f>
        <v/>
      </c>
      <c r="N6" s="13">
        <f>IF($A6="","",COUNTIFS(Lines!$B$5:$B$204,$A6,Lines!$O$5:$O$204,"&gt;0"))</f>
        <v/>
      </c>
      <c r="O6" s="13">
        <f>IF($A6="","",COUNTIFS(Lines!$B$5:$B$204,$A6,Lines!$O$5:$O$204,"&gt;=15"))</f>
        <v/>
      </c>
      <c r="P6" s="15">
        <f>IF($A6="","",IFERROR(AVERAGEIFS(Lines!$O$5:$O$204,Lines!$B$5:$B$204,$A6,Lines!$O$5:$O$204,"&gt;0"),0))</f>
        <v/>
      </c>
    </row>
    <row r="7">
      <c r="A7" s="7" t="inlineStr">
        <is>
          <t>Adria Components</t>
        </is>
      </c>
      <c r="B7" s="7" t="inlineStr">
        <is>
          <t>Marko Juric</t>
        </is>
      </c>
      <c r="C7" s="7" t="inlineStr">
        <is>
          <t>purchasing@adriacomp.example</t>
        </is>
      </c>
      <c r="D7" s="7" t="inlineStr">
        <is>
          <t>+385 1 466 2100</t>
        </is>
      </c>
      <c r="E7" s="7" t="inlineStr">
        <is>
          <t>Radnicka cesta 52, 10000 Zagreb, Croatia</t>
        </is>
      </c>
      <c r="F7" s="8" t="n">
        <v>45</v>
      </c>
      <c r="G7" s="8" t="n">
        <v>21</v>
      </c>
      <c r="H7" s="7" t="inlineStr">
        <is>
          <t>EUR</t>
        </is>
      </c>
      <c r="I7" s="7" t="inlineStr">
        <is>
          <t>Cheapest on price; check the reject rate before increasing volume</t>
        </is>
      </c>
      <c r="J7" s="13">
        <f>IF($A7="","",COUNTIFS(Lines!$B$5:$B$204,$A7))</f>
        <v/>
      </c>
      <c r="K7" s="10">
        <f>IF($A7="","",SUMIFS(Lines!$F$5:$F$204,Lines!$B$5:$B$204,$A7))</f>
        <v/>
      </c>
      <c r="L7" s="13">
        <f>IF($A7="","",COUNTIFS(Lines!$B$5:$B$204,$A7,Lines!$L$5:$L$204,"&gt;0"))</f>
        <v/>
      </c>
      <c r="M7" s="10">
        <f>IF($A7="","",SUMIFS(Lines!$M$5:$M$204,Lines!$B$5:$B$204,$A7))</f>
        <v/>
      </c>
      <c r="N7" s="13">
        <f>IF($A7="","",COUNTIFS(Lines!$B$5:$B$204,$A7,Lines!$O$5:$O$204,"&gt;0"))</f>
        <v/>
      </c>
      <c r="O7" s="13">
        <f>IF($A7="","",COUNTIFS(Lines!$B$5:$B$204,$A7,Lines!$O$5:$O$204,"&gt;=15"))</f>
        <v/>
      </c>
      <c r="P7" s="15">
        <f>IF($A7="","",IFERROR(AVERAGEIFS(Lines!$O$5:$O$204,Lines!$B$5:$B$204,$A7,Lines!$O$5:$O$204,"&gt;0"),0))</f>
        <v/>
      </c>
    </row>
    <row r="8">
      <c r="A8" s="7" t="inlineStr">
        <is>
          <t>Helix Metals</t>
        </is>
      </c>
      <c r="B8" s="7" t="inlineStr">
        <is>
          <t>Sarah Whitcombe</t>
        </is>
      </c>
      <c r="C8" s="7" t="inlineStr">
        <is>
          <t>trade@helixmetals.example</t>
        </is>
      </c>
      <c r="D8" s="7" t="inlineStr">
        <is>
          <t>+44 121 448 7712</t>
        </is>
      </c>
      <c r="E8" s="7" t="inlineStr">
        <is>
          <t>Unit 7, Tyseley Industrial Estate, Birmingham B11 2BH, UK</t>
        </is>
      </c>
      <c r="F8" s="8" t="n">
        <v>30</v>
      </c>
      <c r="G8" s="8" t="n">
        <v>10</v>
      </c>
      <c r="H8" s="7" t="inlineStr">
        <is>
          <t>GBP</t>
        </is>
      </c>
      <c r="I8" s="7" t="inlineStr">
        <is>
          <t>Price held to March; quote in GBP, convert on receipt</t>
        </is>
      </c>
      <c r="J8" s="13">
        <f>IF($A8="","",COUNTIFS(Lines!$B$5:$B$204,$A8))</f>
        <v/>
      </c>
      <c r="K8" s="10">
        <f>IF($A8="","",SUMIFS(Lines!$F$5:$F$204,Lines!$B$5:$B$204,$A8))</f>
        <v/>
      </c>
      <c r="L8" s="13">
        <f>IF($A8="","",COUNTIFS(Lines!$B$5:$B$204,$A8,Lines!$L$5:$L$204,"&gt;0"))</f>
        <v/>
      </c>
      <c r="M8" s="10">
        <f>IF($A8="","",SUMIFS(Lines!$M$5:$M$204,Lines!$B$5:$B$204,$A8))</f>
        <v/>
      </c>
      <c r="N8" s="13">
        <f>IF($A8="","",COUNTIFS(Lines!$B$5:$B$204,$A8,Lines!$O$5:$O$204,"&gt;0"))</f>
        <v/>
      </c>
      <c r="O8" s="13">
        <f>IF($A8="","",COUNTIFS(Lines!$B$5:$B$204,$A8,Lines!$O$5:$O$204,"&gt;=15"))</f>
        <v/>
      </c>
      <c r="P8" s="15">
        <f>IF($A8="","",IFERROR(AVERAGEIFS(Lines!$O$5:$O$204,Lines!$B$5:$B$204,$A8,Lines!$O$5:$O$204,"&gt;0"),0))</f>
        <v/>
      </c>
    </row>
    <row r="9">
      <c r="A9" s="7" t="n"/>
      <c r="B9" s="7" t="n"/>
      <c r="C9" s="7" t="n"/>
      <c r="D9" s="7" t="n"/>
      <c r="E9" s="7" t="n"/>
      <c r="F9" s="8" t="n"/>
      <c r="G9" s="8" t="n"/>
      <c r="H9" s="7" t="n"/>
      <c r="I9" s="7" t="n"/>
      <c r="J9" s="13">
        <f>IF($A9="","",COUNTIFS(Lines!$B$5:$B$204,$A9))</f>
        <v/>
      </c>
      <c r="K9" s="10">
        <f>IF($A9="","",SUMIFS(Lines!$F$5:$F$204,Lines!$B$5:$B$204,$A9))</f>
        <v/>
      </c>
      <c r="L9" s="13">
        <f>IF($A9="","",COUNTIFS(Lines!$B$5:$B$204,$A9,Lines!$L$5:$L$204,"&gt;0"))</f>
        <v/>
      </c>
      <c r="M9" s="10">
        <f>IF($A9="","",SUMIFS(Lines!$M$5:$M$204,Lines!$B$5:$B$204,$A9))</f>
        <v/>
      </c>
      <c r="N9" s="13">
        <f>IF($A9="","",COUNTIFS(Lines!$B$5:$B$204,$A9,Lines!$O$5:$O$204,"&gt;0"))</f>
        <v/>
      </c>
      <c r="O9" s="13">
        <f>IF($A9="","",COUNTIFS(Lines!$B$5:$B$204,$A9,Lines!$O$5:$O$204,"&gt;=15"))</f>
        <v/>
      </c>
      <c r="P9" s="15">
        <f>IF($A9="","",IFERROR(AVERAGEIFS(Lines!$O$5:$O$204,Lines!$B$5:$B$204,$A9,Lines!$O$5:$O$204,"&gt;0"),0))</f>
        <v/>
      </c>
    </row>
    <row r="10">
      <c r="A10" s="7" t="n"/>
      <c r="B10" s="7" t="n"/>
      <c r="C10" s="7" t="n"/>
      <c r="D10" s="7" t="n"/>
      <c r="E10" s="7" t="n"/>
      <c r="F10" s="8" t="n"/>
      <c r="G10" s="8" t="n"/>
      <c r="H10" s="7" t="n"/>
      <c r="I10" s="7" t="n"/>
      <c r="J10" s="13">
        <f>IF($A10="","",COUNTIFS(Lines!$B$5:$B$204,$A10))</f>
        <v/>
      </c>
      <c r="K10" s="10">
        <f>IF($A10="","",SUMIFS(Lines!$F$5:$F$204,Lines!$B$5:$B$204,$A10))</f>
        <v/>
      </c>
      <c r="L10" s="13">
        <f>IF($A10="","",COUNTIFS(Lines!$B$5:$B$204,$A10,Lines!$L$5:$L$204,"&gt;0"))</f>
        <v/>
      </c>
      <c r="M10" s="10">
        <f>IF($A10="","",SUMIFS(Lines!$M$5:$M$204,Lines!$B$5:$B$204,$A10))</f>
        <v/>
      </c>
      <c r="N10" s="13">
        <f>IF($A10="","",COUNTIFS(Lines!$B$5:$B$204,$A10,Lines!$O$5:$O$204,"&gt;0"))</f>
        <v/>
      </c>
      <c r="O10" s="13">
        <f>IF($A10="","",COUNTIFS(Lines!$B$5:$B$204,$A10,Lines!$O$5:$O$204,"&gt;=15"))</f>
        <v/>
      </c>
      <c r="P10" s="15">
        <f>IF($A10="","",IFERROR(AVERAGEIFS(Lines!$O$5:$O$204,Lines!$B$5:$B$204,$A10,Lines!$O$5:$O$204,"&gt;0"),0))</f>
        <v/>
      </c>
    </row>
    <row r="11">
      <c r="A11" s="7" t="n"/>
      <c r="B11" s="7" t="n"/>
      <c r="C11" s="7" t="n"/>
      <c r="D11" s="7" t="n"/>
      <c r="E11" s="7" t="n"/>
      <c r="F11" s="8" t="n"/>
      <c r="G11" s="8" t="n"/>
      <c r="H11" s="7" t="n"/>
      <c r="I11" s="7" t="n"/>
      <c r="J11" s="13">
        <f>IF($A11="","",COUNTIFS(Lines!$B$5:$B$204,$A11))</f>
        <v/>
      </c>
      <c r="K11" s="10">
        <f>IF($A11="","",SUMIFS(Lines!$F$5:$F$204,Lines!$B$5:$B$204,$A11))</f>
        <v/>
      </c>
      <c r="L11" s="13">
        <f>IF($A11="","",COUNTIFS(Lines!$B$5:$B$204,$A11,Lines!$L$5:$L$204,"&gt;0"))</f>
        <v/>
      </c>
      <c r="M11" s="10">
        <f>IF($A11="","",SUMIFS(Lines!$M$5:$M$204,Lines!$B$5:$B$204,$A11))</f>
        <v/>
      </c>
      <c r="N11" s="13">
        <f>IF($A11="","",COUNTIFS(Lines!$B$5:$B$204,$A11,Lines!$O$5:$O$204,"&gt;0"))</f>
        <v/>
      </c>
      <c r="O11" s="13">
        <f>IF($A11="","",COUNTIFS(Lines!$B$5:$B$204,$A11,Lines!$O$5:$O$204,"&gt;=15"))</f>
        <v/>
      </c>
      <c r="P11" s="15">
        <f>IF($A11="","",IFERROR(AVERAGEIFS(Lines!$O$5:$O$204,Lines!$B$5:$B$204,$A11,Lines!$O$5:$O$204,"&gt;0"),0))</f>
        <v/>
      </c>
    </row>
    <row r="12">
      <c r="A12" s="7" t="n"/>
      <c r="B12" s="7" t="n"/>
      <c r="C12" s="7" t="n"/>
      <c r="D12" s="7" t="n"/>
      <c r="E12" s="7" t="n"/>
      <c r="F12" s="8" t="n"/>
      <c r="G12" s="8" t="n"/>
      <c r="H12" s="7" t="n"/>
      <c r="I12" s="7" t="n"/>
      <c r="J12" s="13">
        <f>IF($A12="","",COUNTIFS(Lines!$B$5:$B$204,$A12))</f>
        <v/>
      </c>
      <c r="K12" s="10">
        <f>IF($A12="","",SUMIFS(Lines!$F$5:$F$204,Lines!$B$5:$B$204,$A12))</f>
        <v/>
      </c>
      <c r="L12" s="13">
        <f>IF($A12="","",COUNTIFS(Lines!$B$5:$B$204,$A12,Lines!$L$5:$L$204,"&gt;0"))</f>
        <v/>
      </c>
      <c r="M12" s="10">
        <f>IF($A12="","",SUMIFS(Lines!$M$5:$M$204,Lines!$B$5:$B$204,$A12))</f>
        <v/>
      </c>
      <c r="N12" s="13">
        <f>IF($A12="","",COUNTIFS(Lines!$B$5:$B$204,$A12,Lines!$O$5:$O$204,"&gt;0"))</f>
        <v/>
      </c>
      <c r="O12" s="13">
        <f>IF($A12="","",COUNTIFS(Lines!$B$5:$B$204,$A12,Lines!$O$5:$O$204,"&gt;=15"))</f>
        <v/>
      </c>
      <c r="P12" s="15">
        <f>IF($A12="","",IFERROR(AVERAGEIFS(Lines!$O$5:$O$204,Lines!$B$5:$B$204,$A12,Lines!$O$5:$O$204,"&gt;0"),0))</f>
        <v/>
      </c>
    </row>
    <row r="13">
      <c r="A13" s="7" t="n"/>
      <c r="B13" s="7" t="n"/>
      <c r="C13" s="7" t="n"/>
      <c r="D13" s="7" t="n"/>
      <c r="E13" s="7" t="n"/>
      <c r="F13" s="8" t="n"/>
      <c r="G13" s="8" t="n"/>
      <c r="H13" s="7" t="n"/>
      <c r="I13" s="7" t="n"/>
      <c r="J13" s="13">
        <f>IF($A13="","",COUNTIFS(Lines!$B$5:$B$204,$A13))</f>
        <v/>
      </c>
      <c r="K13" s="10">
        <f>IF($A13="","",SUMIFS(Lines!$F$5:$F$204,Lines!$B$5:$B$204,$A13))</f>
        <v/>
      </c>
      <c r="L13" s="13">
        <f>IF($A13="","",COUNTIFS(Lines!$B$5:$B$204,$A13,Lines!$L$5:$L$204,"&gt;0"))</f>
        <v/>
      </c>
      <c r="M13" s="10">
        <f>IF($A13="","",SUMIFS(Lines!$M$5:$M$204,Lines!$B$5:$B$204,$A13))</f>
        <v/>
      </c>
      <c r="N13" s="13">
        <f>IF($A13="","",COUNTIFS(Lines!$B$5:$B$204,$A13,Lines!$O$5:$O$204,"&gt;0"))</f>
        <v/>
      </c>
      <c r="O13" s="13">
        <f>IF($A13="","",COUNTIFS(Lines!$B$5:$B$204,$A13,Lines!$O$5:$O$204,"&gt;=15"))</f>
        <v/>
      </c>
      <c r="P13" s="15">
        <f>IF($A13="","",IFERROR(AVERAGEIFS(Lines!$O$5:$O$204,Lines!$B$5:$B$204,$A13,Lines!$O$5:$O$204,"&gt;0"),0))</f>
        <v/>
      </c>
    </row>
    <row r="14">
      <c r="A14" s="7" t="n"/>
      <c r="B14" s="7" t="n"/>
      <c r="C14" s="7" t="n"/>
      <c r="D14" s="7" t="n"/>
      <c r="E14" s="7" t="n"/>
      <c r="F14" s="8" t="n"/>
      <c r="G14" s="8" t="n"/>
      <c r="H14" s="7" t="n"/>
      <c r="I14" s="7" t="n"/>
      <c r="J14" s="13">
        <f>IF($A14="","",COUNTIFS(Lines!$B$5:$B$204,$A14))</f>
        <v/>
      </c>
      <c r="K14" s="10">
        <f>IF($A14="","",SUMIFS(Lines!$F$5:$F$204,Lines!$B$5:$B$204,$A14))</f>
        <v/>
      </c>
      <c r="L14" s="13">
        <f>IF($A14="","",COUNTIFS(Lines!$B$5:$B$204,$A14,Lines!$L$5:$L$204,"&gt;0"))</f>
        <v/>
      </c>
      <c r="M14" s="10">
        <f>IF($A14="","",SUMIFS(Lines!$M$5:$M$204,Lines!$B$5:$B$204,$A14))</f>
        <v/>
      </c>
      <c r="N14" s="13">
        <f>IF($A14="","",COUNTIFS(Lines!$B$5:$B$204,$A14,Lines!$O$5:$O$204,"&gt;0"))</f>
        <v/>
      </c>
      <c r="O14" s="13">
        <f>IF($A14="","",COUNTIFS(Lines!$B$5:$B$204,$A14,Lines!$O$5:$O$204,"&gt;=15"))</f>
        <v/>
      </c>
      <c r="P14" s="15">
        <f>IF($A14="","",IFERROR(AVERAGEIFS(Lines!$O$5:$O$204,Lines!$B$5:$B$204,$A14,Lines!$O$5:$O$204,"&gt;0"),0))</f>
        <v/>
      </c>
    </row>
    <row r="15">
      <c r="A15" s="7" t="n"/>
      <c r="B15" s="7" t="n"/>
      <c r="C15" s="7" t="n"/>
      <c r="D15" s="7" t="n"/>
      <c r="E15" s="7" t="n"/>
      <c r="F15" s="8" t="n"/>
      <c r="G15" s="8" t="n"/>
      <c r="H15" s="7" t="n"/>
      <c r="I15" s="7" t="n"/>
      <c r="J15" s="13">
        <f>IF($A15="","",COUNTIFS(Lines!$B$5:$B$204,$A15))</f>
        <v/>
      </c>
      <c r="K15" s="10">
        <f>IF($A15="","",SUMIFS(Lines!$F$5:$F$204,Lines!$B$5:$B$204,$A15))</f>
        <v/>
      </c>
      <c r="L15" s="13">
        <f>IF($A15="","",COUNTIFS(Lines!$B$5:$B$204,$A15,Lines!$L$5:$L$204,"&gt;0"))</f>
        <v/>
      </c>
      <c r="M15" s="10">
        <f>IF($A15="","",SUMIFS(Lines!$M$5:$M$204,Lines!$B$5:$B$204,$A15))</f>
        <v/>
      </c>
      <c r="N15" s="13">
        <f>IF($A15="","",COUNTIFS(Lines!$B$5:$B$204,$A15,Lines!$O$5:$O$204,"&gt;0"))</f>
        <v/>
      </c>
      <c r="O15" s="13">
        <f>IF($A15="","",COUNTIFS(Lines!$B$5:$B$204,$A15,Lines!$O$5:$O$204,"&gt;=15"))</f>
        <v/>
      </c>
      <c r="P15" s="15">
        <f>IF($A15="","",IFERROR(AVERAGEIFS(Lines!$O$5:$O$204,Lines!$B$5:$B$204,$A15,Lines!$O$5:$O$204,"&gt;0"),0))</f>
        <v/>
      </c>
    </row>
    <row r="16">
      <c r="A16" s="7" t="n"/>
      <c r="B16" s="7" t="n"/>
      <c r="C16" s="7" t="n"/>
      <c r="D16" s="7" t="n"/>
      <c r="E16" s="7" t="n"/>
      <c r="F16" s="8" t="n"/>
      <c r="G16" s="8" t="n"/>
      <c r="H16" s="7" t="n"/>
      <c r="I16" s="7" t="n"/>
      <c r="J16" s="13">
        <f>IF($A16="","",COUNTIFS(Lines!$B$5:$B$204,$A16))</f>
        <v/>
      </c>
      <c r="K16" s="10">
        <f>IF($A16="","",SUMIFS(Lines!$F$5:$F$204,Lines!$B$5:$B$204,$A16))</f>
        <v/>
      </c>
      <c r="L16" s="13">
        <f>IF($A16="","",COUNTIFS(Lines!$B$5:$B$204,$A16,Lines!$L$5:$L$204,"&gt;0"))</f>
        <v/>
      </c>
      <c r="M16" s="10">
        <f>IF($A16="","",SUMIFS(Lines!$M$5:$M$204,Lines!$B$5:$B$204,$A16))</f>
        <v/>
      </c>
      <c r="N16" s="13">
        <f>IF($A16="","",COUNTIFS(Lines!$B$5:$B$204,$A16,Lines!$O$5:$O$204,"&gt;0"))</f>
        <v/>
      </c>
      <c r="O16" s="13">
        <f>IF($A16="","",COUNTIFS(Lines!$B$5:$B$204,$A16,Lines!$O$5:$O$204,"&gt;=15"))</f>
        <v/>
      </c>
      <c r="P16" s="15">
        <f>IF($A16="","",IFERROR(AVERAGEIFS(Lines!$O$5:$O$204,Lines!$B$5:$B$204,$A16,Lines!$O$5:$O$204,"&gt;0"),0))</f>
        <v/>
      </c>
    </row>
    <row r="17">
      <c r="A17" s="7" t="n"/>
      <c r="B17" s="7" t="n"/>
      <c r="C17" s="7" t="n"/>
      <c r="D17" s="7" t="n"/>
      <c r="E17" s="7" t="n"/>
      <c r="F17" s="8" t="n"/>
      <c r="G17" s="8" t="n"/>
      <c r="H17" s="7" t="n"/>
      <c r="I17" s="7" t="n"/>
      <c r="J17" s="13">
        <f>IF($A17="","",COUNTIFS(Lines!$B$5:$B$204,$A17))</f>
        <v/>
      </c>
      <c r="K17" s="10">
        <f>IF($A17="","",SUMIFS(Lines!$F$5:$F$204,Lines!$B$5:$B$204,$A17))</f>
        <v/>
      </c>
      <c r="L17" s="13">
        <f>IF($A17="","",COUNTIFS(Lines!$B$5:$B$204,$A17,Lines!$L$5:$L$204,"&gt;0"))</f>
        <v/>
      </c>
      <c r="M17" s="10">
        <f>IF($A17="","",SUMIFS(Lines!$M$5:$M$204,Lines!$B$5:$B$204,$A17))</f>
        <v/>
      </c>
      <c r="N17" s="13">
        <f>IF($A17="","",COUNTIFS(Lines!$B$5:$B$204,$A17,Lines!$O$5:$O$204,"&gt;0"))</f>
        <v/>
      </c>
      <c r="O17" s="13">
        <f>IF($A17="","",COUNTIFS(Lines!$B$5:$B$204,$A17,Lines!$O$5:$O$204,"&gt;=15"))</f>
        <v/>
      </c>
      <c r="P17" s="15">
        <f>IF($A17="","",IFERROR(AVERAGEIFS(Lines!$O$5:$O$204,Lines!$B$5:$B$204,$A17,Lines!$O$5:$O$204,"&gt;0"),0))</f>
        <v/>
      </c>
    </row>
    <row r="18">
      <c r="A18" s="7" t="n"/>
      <c r="B18" s="7" t="n"/>
      <c r="C18" s="7" t="n"/>
      <c r="D18" s="7" t="n"/>
      <c r="E18" s="7" t="n"/>
      <c r="F18" s="8" t="n"/>
      <c r="G18" s="8" t="n"/>
      <c r="H18" s="7" t="n"/>
      <c r="I18" s="7" t="n"/>
      <c r="J18" s="13">
        <f>IF($A18="","",COUNTIFS(Lines!$B$5:$B$204,$A18))</f>
        <v/>
      </c>
      <c r="K18" s="10">
        <f>IF($A18="","",SUMIFS(Lines!$F$5:$F$204,Lines!$B$5:$B$204,$A18))</f>
        <v/>
      </c>
      <c r="L18" s="13">
        <f>IF($A18="","",COUNTIFS(Lines!$B$5:$B$204,$A18,Lines!$L$5:$L$204,"&gt;0"))</f>
        <v/>
      </c>
      <c r="M18" s="10">
        <f>IF($A18="","",SUMIFS(Lines!$M$5:$M$204,Lines!$B$5:$B$204,$A18))</f>
        <v/>
      </c>
      <c r="N18" s="13">
        <f>IF($A18="","",COUNTIFS(Lines!$B$5:$B$204,$A18,Lines!$O$5:$O$204,"&gt;0"))</f>
        <v/>
      </c>
      <c r="O18" s="13">
        <f>IF($A18="","",COUNTIFS(Lines!$B$5:$B$204,$A18,Lines!$O$5:$O$204,"&gt;=15"))</f>
        <v/>
      </c>
      <c r="P18" s="15">
        <f>IF($A18="","",IFERROR(AVERAGEIFS(Lines!$O$5:$O$204,Lines!$B$5:$B$204,$A18,Lines!$O$5:$O$204,"&gt;0"),0))</f>
        <v/>
      </c>
    </row>
    <row r="19">
      <c r="A19" s="7" t="n"/>
      <c r="B19" s="7" t="n"/>
      <c r="C19" s="7" t="n"/>
      <c r="D19" s="7" t="n"/>
      <c r="E19" s="7" t="n"/>
      <c r="F19" s="8" t="n"/>
      <c r="G19" s="8" t="n"/>
      <c r="H19" s="7" t="n"/>
      <c r="I19" s="7" t="n"/>
      <c r="J19" s="13">
        <f>IF($A19="","",COUNTIFS(Lines!$B$5:$B$204,$A19))</f>
        <v/>
      </c>
      <c r="K19" s="10">
        <f>IF($A19="","",SUMIFS(Lines!$F$5:$F$204,Lines!$B$5:$B$204,$A19))</f>
        <v/>
      </c>
      <c r="L19" s="13">
        <f>IF($A19="","",COUNTIFS(Lines!$B$5:$B$204,$A19,Lines!$L$5:$L$204,"&gt;0"))</f>
        <v/>
      </c>
      <c r="M19" s="10">
        <f>IF($A19="","",SUMIFS(Lines!$M$5:$M$204,Lines!$B$5:$B$204,$A19))</f>
        <v/>
      </c>
      <c r="N19" s="13">
        <f>IF($A19="","",COUNTIFS(Lines!$B$5:$B$204,$A19,Lines!$O$5:$O$204,"&gt;0"))</f>
        <v/>
      </c>
      <c r="O19" s="13">
        <f>IF($A19="","",COUNTIFS(Lines!$B$5:$B$204,$A19,Lines!$O$5:$O$204,"&gt;=15"))</f>
        <v/>
      </c>
      <c r="P19" s="15">
        <f>IF($A19="","",IFERROR(AVERAGEIFS(Lines!$O$5:$O$204,Lines!$B$5:$B$204,$A19,Lines!$O$5:$O$204,"&gt;0"),0))</f>
        <v/>
      </c>
    </row>
    <row r="20">
      <c r="A20" s="7" t="n"/>
      <c r="B20" s="7" t="n"/>
      <c r="C20" s="7" t="n"/>
      <c r="D20" s="7" t="n"/>
      <c r="E20" s="7" t="n"/>
      <c r="F20" s="8" t="n"/>
      <c r="G20" s="8" t="n"/>
      <c r="H20" s="7" t="n"/>
      <c r="I20" s="7" t="n"/>
      <c r="J20" s="13">
        <f>IF($A20="","",COUNTIFS(Lines!$B$5:$B$204,$A20))</f>
        <v/>
      </c>
      <c r="K20" s="10">
        <f>IF($A20="","",SUMIFS(Lines!$F$5:$F$204,Lines!$B$5:$B$204,$A20))</f>
        <v/>
      </c>
      <c r="L20" s="13">
        <f>IF($A20="","",COUNTIFS(Lines!$B$5:$B$204,$A20,Lines!$L$5:$L$204,"&gt;0"))</f>
        <v/>
      </c>
      <c r="M20" s="10">
        <f>IF($A20="","",SUMIFS(Lines!$M$5:$M$204,Lines!$B$5:$B$204,$A20))</f>
        <v/>
      </c>
      <c r="N20" s="13">
        <f>IF($A20="","",COUNTIFS(Lines!$B$5:$B$204,$A20,Lines!$O$5:$O$204,"&gt;0"))</f>
        <v/>
      </c>
      <c r="O20" s="13">
        <f>IF($A20="","",COUNTIFS(Lines!$B$5:$B$204,$A20,Lines!$O$5:$O$204,"&gt;=15"))</f>
        <v/>
      </c>
      <c r="P20" s="15">
        <f>IF($A20="","",IFERROR(AVERAGEIFS(Lines!$O$5:$O$204,Lines!$B$5:$B$204,$A20,Lines!$O$5:$O$204,"&gt;0"),0))</f>
        <v/>
      </c>
    </row>
    <row r="21">
      <c r="A21" s="7" t="n"/>
      <c r="B21" s="7" t="n"/>
      <c r="C21" s="7" t="n"/>
      <c r="D21" s="7" t="n"/>
      <c r="E21" s="7" t="n"/>
      <c r="F21" s="8" t="n"/>
      <c r="G21" s="8" t="n"/>
      <c r="H21" s="7" t="n"/>
      <c r="I21" s="7" t="n"/>
      <c r="J21" s="13">
        <f>IF($A21="","",COUNTIFS(Lines!$B$5:$B$204,$A21))</f>
        <v/>
      </c>
      <c r="K21" s="10">
        <f>IF($A21="","",SUMIFS(Lines!$F$5:$F$204,Lines!$B$5:$B$204,$A21))</f>
        <v/>
      </c>
      <c r="L21" s="13">
        <f>IF($A21="","",COUNTIFS(Lines!$B$5:$B$204,$A21,Lines!$L$5:$L$204,"&gt;0"))</f>
        <v/>
      </c>
      <c r="M21" s="10">
        <f>IF($A21="","",SUMIFS(Lines!$M$5:$M$204,Lines!$B$5:$B$204,$A21))</f>
        <v/>
      </c>
      <c r="N21" s="13">
        <f>IF($A21="","",COUNTIFS(Lines!$B$5:$B$204,$A21,Lines!$O$5:$O$204,"&gt;0"))</f>
        <v/>
      </c>
      <c r="O21" s="13">
        <f>IF($A21="","",COUNTIFS(Lines!$B$5:$B$204,$A21,Lines!$O$5:$O$204,"&gt;=15"))</f>
        <v/>
      </c>
      <c r="P21" s="15">
        <f>IF($A21="","",IFERROR(AVERAGEIFS(Lines!$O$5:$O$204,Lines!$B$5:$B$204,$A21,Lines!$O$5:$O$204,"&gt;0"),0))</f>
        <v/>
      </c>
    </row>
    <row r="22">
      <c r="A22" s="7" t="n"/>
      <c r="B22" s="7" t="n"/>
      <c r="C22" s="7" t="n"/>
      <c r="D22" s="7" t="n"/>
      <c r="E22" s="7" t="n"/>
      <c r="F22" s="8" t="n"/>
      <c r="G22" s="8" t="n"/>
      <c r="H22" s="7" t="n"/>
      <c r="I22" s="7" t="n"/>
      <c r="J22" s="13">
        <f>IF($A22="","",COUNTIFS(Lines!$B$5:$B$204,$A22))</f>
        <v/>
      </c>
      <c r="K22" s="10">
        <f>IF($A22="","",SUMIFS(Lines!$F$5:$F$204,Lines!$B$5:$B$204,$A22))</f>
        <v/>
      </c>
      <c r="L22" s="13">
        <f>IF($A22="","",COUNTIFS(Lines!$B$5:$B$204,$A22,Lines!$L$5:$L$204,"&gt;0"))</f>
        <v/>
      </c>
      <c r="M22" s="10">
        <f>IF($A22="","",SUMIFS(Lines!$M$5:$M$204,Lines!$B$5:$B$204,$A22))</f>
        <v/>
      </c>
      <c r="N22" s="13">
        <f>IF($A22="","",COUNTIFS(Lines!$B$5:$B$204,$A22,Lines!$O$5:$O$204,"&gt;0"))</f>
        <v/>
      </c>
      <c r="O22" s="13">
        <f>IF($A22="","",COUNTIFS(Lines!$B$5:$B$204,$A22,Lines!$O$5:$O$204,"&gt;=15"))</f>
        <v/>
      </c>
      <c r="P22" s="15">
        <f>IF($A22="","",IFERROR(AVERAGEIFS(Lines!$O$5:$O$204,Lines!$B$5:$B$204,$A22,Lines!$O$5:$O$204,"&gt;0"),0))</f>
        <v/>
      </c>
    </row>
    <row r="23">
      <c r="A23" s="7" t="n"/>
      <c r="B23" s="7" t="n"/>
      <c r="C23" s="7" t="n"/>
      <c r="D23" s="7" t="n"/>
      <c r="E23" s="7" t="n"/>
      <c r="F23" s="8" t="n"/>
      <c r="G23" s="8" t="n"/>
      <c r="H23" s="7" t="n"/>
      <c r="I23" s="7" t="n"/>
      <c r="J23" s="13">
        <f>IF($A23="","",COUNTIFS(Lines!$B$5:$B$204,$A23))</f>
        <v/>
      </c>
      <c r="K23" s="10">
        <f>IF($A23="","",SUMIFS(Lines!$F$5:$F$204,Lines!$B$5:$B$204,$A23))</f>
        <v/>
      </c>
      <c r="L23" s="13">
        <f>IF($A23="","",COUNTIFS(Lines!$B$5:$B$204,$A23,Lines!$L$5:$L$204,"&gt;0"))</f>
        <v/>
      </c>
      <c r="M23" s="10">
        <f>IF($A23="","",SUMIFS(Lines!$M$5:$M$204,Lines!$B$5:$B$204,$A23))</f>
        <v/>
      </c>
      <c r="N23" s="13">
        <f>IF($A23="","",COUNTIFS(Lines!$B$5:$B$204,$A23,Lines!$O$5:$O$204,"&gt;0"))</f>
        <v/>
      </c>
      <c r="O23" s="13">
        <f>IF($A23="","",COUNTIFS(Lines!$B$5:$B$204,$A23,Lines!$O$5:$O$204,"&gt;=15"))</f>
        <v/>
      </c>
      <c r="P23" s="15">
        <f>IF($A23="","",IFERROR(AVERAGEIFS(Lines!$O$5:$O$204,Lines!$B$5:$B$204,$A23,Lines!$O$5:$O$204,"&gt;0"),0))</f>
        <v/>
      </c>
    </row>
    <row r="24">
      <c r="A24" s="7" t="n"/>
      <c r="B24" s="7" t="n"/>
      <c r="C24" s="7" t="n"/>
      <c r="D24" s="7" t="n"/>
      <c r="E24" s="7" t="n"/>
      <c r="F24" s="8" t="n"/>
      <c r="G24" s="8" t="n"/>
      <c r="H24" s="7" t="n"/>
      <c r="I24" s="7" t="n"/>
      <c r="J24" s="13">
        <f>IF($A24="","",COUNTIFS(Lines!$B$5:$B$204,$A24))</f>
        <v/>
      </c>
      <c r="K24" s="10">
        <f>IF($A24="","",SUMIFS(Lines!$F$5:$F$204,Lines!$B$5:$B$204,$A24))</f>
        <v/>
      </c>
      <c r="L24" s="13">
        <f>IF($A24="","",COUNTIFS(Lines!$B$5:$B$204,$A24,Lines!$L$5:$L$204,"&gt;0"))</f>
        <v/>
      </c>
      <c r="M24" s="10">
        <f>IF($A24="","",SUMIFS(Lines!$M$5:$M$204,Lines!$B$5:$B$204,$A24))</f>
        <v/>
      </c>
      <c r="N24" s="13">
        <f>IF($A24="","",COUNTIFS(Lines!$B$5:$B$204,$A24,Lines!$O$5:$O$204,"&gt;0"))</f>
        <v/>
      </c>
      <c r="O24" s="13">
        <f>IF($A24="","",COUNTIFS(Lines!$B$5:$B$204,$A24,Lines!$O$5:$O$204,"&gt;=15"))</f>
        <v/>
      </c>
      <c r="P24" s="15">
        <f>IF($A24="","",IFERROR(AVERAGEIFS(Lines!$O$5:$O$204,Lines!$B$5:$B$204,$A24,Lines!$O$5:$O$204,"&gt;0"),0))</f>
        <v/>
      </c>
    </row>
    <row r="25">
      <c r="A25" s="7" t="n"/>
      <c r="B25" s="7" t="n"/>
      <c r="C25" s="7" t="n"/>
      <c r="D25" s="7" t="n"/>
      <c r="E25" s="7" t="n"/>
      <c r="F25" s="8" t="n"/>
      <c r="G25" s="8" t="n"/>
      <c r="H25" s="7" t="n"/>
      <c r="I25" s="7" t="n"/>
      <c r="J25" s="13">
        <f>IF($A25="","",COUNTIFS(Lines!$B$5:$B$204,$A25))</f>
        <v/>
      </c>
      <c r="K25" s="10">
        <f>IF($A25="","",SUMIFS(Lines!$F$5:$F$204,Lines!$B$5:$B$204,$A25))</f>
        <v/>
      </c>
      <c r="L25" s="13">
        <f>IF($A25="","",COUNTIFS(Lines!$B$5:$B$204,$A25,Lines!$L$5:$L$204,"&gt;0"))</f>
        <v/>
      </c>
      <c r="M25" s="10">
        <f>IF($A25="","",SUMIFS(Lines!$M$5:$M$204,Lines!$B$5:$B$204,$A25))</f>
        <v/>
      </c>
      <c r="N25" s="13">
        <f>IF($A25="","",COUNTIFS(Lines!$B$5:$B$204,$A25,Lines!$O$5:$O$204,"&gt;0"))</f>
        <v/>
      </c>
      <c r="O25" s="13">
        <f>IF($A25="","",COUNTIFS(Lines!$B$5:$B$204,$A25,Lines!$O$5:$O$204,"&gt;=15"))</f>
        <v/>
      </c>
      <c r="P25" s="15">
        <f>IF($A25="","",IFERROR(AVERAGEIFS(Lines!$O$5:$O$204,Lines!$B$5:$B$204,$A25,Lines!$O$5:$O$204,"&gt;0"),0))</f>
        <v/>
      </c>
    </row>
    <row r="26">
      <c r="A26" s="7" t="n"/>
      <c r="B26" s="7" t="n"/>
      <c r="C26" s="7" t="n"/>
      <c r="D26" s="7" t="n"/>
      <c r="E26" s="7" t="n"/>
      <c r="F26" s="8" t="n"/>
      <c r="G26" s="8" t="n"/>
      <c r="H26" s="7" t="n"/>
      <c r="I26" s="7" t="n"/>
      <c r="J26" s="13">
        <f>IF($A26="","",COUNTIFS(Lines!$B$5:$B$204,$A26))</f>
        <v/>
      </c>
      <c r="K26" s="10">
        <f>IF($A26="","",SUMIFS(Lines!$F$5:$F$204,Lines!$B$5:$B$204,$A26))</f>
        <v/>
      </c>
      <c r="L26" s="13">
        <f>IF($A26="","",COUNTIFS(Lines!$B$5:$B$204,$A26,Lines!$L$5:$L$204,"&gt;0"))</f>
        <v/>
      </c>
      <c r="M26" s="10">
        <f>IF($A26="","",SUMIFS(Lines!$M$5:$M$204,Lines!$B$5:$B$204,$A26))</f>
        <v/>
      </c>
      <c r="N26" s="13">
        <f>IF($A26="","",COUNTIFS(Lines!$B$5:$B$204,$A26,Lines!$O$5:$O$204,"&gt;0"))</f>
        <v/>
      </c>
      <c r="O26" s="13">
        <f>IF($A26="","",COUNTIFS(Lines!$B$5:$B$204,$A26,Lines!$O$5:$O$204,"&gt;=15"))</f>
        <v/>
      </c>
      <c r="P26" s="15">
        <f>IF($A26="","",IFERROR(AVERAGEIFS(Lines!$O$5:$O$204,Lines!$B$5:$B$204,$A26,Lines!$O$5:$O$204,"&gt;0"),0))</f>
        <v/>
      </c>
    </row>
    <row r="27">
      <c r="A27" s="7" t="n"/>
      <c r="B27" s="7" t="n"/>
      <c r="C27" s="7" t="n"/>
      <c r="D27" s="7" t="n"/>
      <c r="E27" s="7" t="n"/>
      <c r="F27" s="8" t="n"/>
      <c r="G27" s="8" t="n"/>
      <c r="H27" s="7" t="n"/>
      <c r="I27" s="7" t="n"/>
      <c r="J27" s="13">
        <f>IF($A27="","",COUNTIFS(Lines!$B$5:$B$204,$A27))</f>
        <v/>
      </c>
      <c r="K27" s="10">
        <f>IF($A27="","",SUMIFS(Lines!$F$5:$F$204,Lines!$B$5:$B$204,$A27))</f>
        <v/>
      </c>
      <c r="L27" s="13">
        <f>IF($A27="","",COUNTIFS(Lines!$B$5:$B$204,$A27,Lines!$L$5:$L$204,"&gt;0"))</f>
        <v/>
      </c>
      <c r="M27" s="10">
        <f>IF($A27="","",SUMIFS(Lines!$M$5:$M$204,Lines!$B$5:$B$204,$A27))</f>
        <v/>
      </c>
      <c r="N27" s="13">
        <f>IF($A27="","",COUNTIFS(Lines!$B$5:$B$204,$A27,Lines!$O$5:$O$204,"&gt;0"))</f>
        <v/>
      </c>
      <c r="O27" s="13">
        <f>IF($A27="","",COUNTIFS(Lines!$B$5:$B$204,$A27,Lines!$O$5:$O$204,"&gt;=15"))</f>
        <v/>
      </c>
      <c r="P27" s="15">
        <f>IF($A27="","",IFERROR(AVERAGEIFS(Lines!$O$5:$O$204,Lines!$B$5:$B$204,$A27,Lines!$O$5:$O$204,"&gt;0"),0))</f>
        <v/>
      </c>
    </row>
    <row r="28">
      <c r="A28" s="7" t="n"/>
      <c r="B28" s="7" t="n"/>
      <c r="C28" s="7" t="n"/>
      <c r="D28" s="7" t="n"/>
      <c r="E28" s="7" t="n"/>
      <c r="F28" s="8" t="n"/>
      <c r="G28" s="8" t="n"/>
      <c r="H28" s="7" t="n"/>
      <c r="I28" s="7" t="n"/>
      <c r="J28" s="13">
        <f>IF($A28="","",COUNTIFS(Lines!$B$5:$B$204,$A28))</f>
        <v/>
      </c>
      <c r="K28" s="10">
        <f>IF($A28="","",SUMIFS(Lines!$F$5:$F$204,Lines!$B$5:$B$204,$A28))</f>
        <v/>
      </c>
      <c r="L28" s="13">
        <f>IF($A28="","",COUNTIFS(Lines!$B$5:$B$204,$A28,Lines!$L$5:$L$204,"&gt;0"))</f>
        <v/>
      </c>
      <c r="M28" s="10">
        <f>IF($A28="","",SUMIFS(Lines!$M$5:$M$204,Lines!$B$5:$B$204,$A28))</f>
        <v/>
      </c>
      <c r="N28" s="13">
        <f>IF($A28="","",COUNTIFS(Lines!$B$5:$B$204,$A28,Lines!$O$5:$O$204,"&gt;0"))</f>
        <v/>
      </c>
      <c r="O28" s="13">
        <f>IF($A28="","",COUNTIFS(Lines!$B$5:$B$204,$A28,Lines!$O$5:$O$204,"&gt;=15"))</f>
        <v/>
      </c>
      <c r="P28" s="15">
        <f>IF($A28="","",IFERROR(AVERAGEIFS(Lines!$O$5:$O$204,Lines!$B$5:$B$204,$A28,Lines!$O$5:$O$204,"&gt;0"),0))</f>
        <v/>
      </c>
    </row>
    <row r="29">
      <c r="A29" s="7" t="n"/>
      <c r="B29" s="7" t="n"/>
      <c r="C29" s="7" t="n"/>
      <c r="D29" s="7" t="n"/>
      <c r="E29" s="7" t="n"/>
      <c r="F29" s="8" t="n"/>
      <c r="G29" s="8" t="n"/>
      <c r="H29" s="7" t="n"/>
      <c r="I29" s="7" t="n"/>
      <c r="J29" s="13">
        <f>IF($A29="","",COUNTIFS(Lines!$B$5:$B$204,$A29))</f>
        <v/>
      </c>
      <c r="K29" s="10">
        <f>IF($A29="","",SUMIFS(Lines!$F$5:$F$204,Lines!$B$5:$B$204,$A29))</f>
        <v/>
      </c>
      <c r="L29" s="13">
        <f>IF($A29="","",COUNTIFS(Lines!$B$5:$B$204,$A29,Lines!$L$5:$L$204,"&gt;0"))</f>
        <v/>
      </c>
      <c r="M29" s="10">
        <f>IF($A29="","",SUMIFS(Lines!$M$5:$M$204,Lines!$B$5:$B$204,$A29))</f>
        <v/>
      </c>
      <c r="N29" s="13">
        <f>IF($A29="","",COUNTIFS(Lines!$B$5:$B$204,$A29,Lines!$O$5:$O$204,"&gt;0"))</f>
        <v/>
      </c>
      <c r="O29" s="13">
        <f>IF($A29="","",COUNTIFS(Lines!$B$5:$B$204,$A29,Lines!$O$5:$O$204,"&gt;=15"))</f>
        <v/>
      </c>
      <c r="P29" s="15">
        <f>IF($A29="","",IFERROR(AVERAGEIFS(Lines!$O$5:$O$204,Lines!$B$5:$B$204,$A29,Lines!$O$5:$O$204,"&gt;0"),0))</f>
        <v/>
      </c>
    </row>
    <row r="30">
      <c r="A30" s="7" t="n"/>
      <c r="B30" s="7" t="n"/>
      <c r="C30" s="7" t="n"/>
      <c r="D30" s="7" t="n"/>
      <c r="E30" s="7" t="n"/>
      <c r="F30" s="8" t="n"/>
      <c r="G30" s="8" t="n"/>
      <c r="H30" s="7" t="n"/>
      <c r="I30" s="7" t="n"/>
      <c r="J30" s="13">
        <f>IF($A30="","",COUNTIFS(Lines!$B$5:$B$204,$A30))</f>
        <v/>
      </c>
      <c r="K30" s="10">
        <f>IF($A30="","",SUMIFS(Lines!$F$5:$F$204,Lines!$B$5:$B$204,$A30))</f>
        <v/>
      </c>
      <c r="L30" s="13">
        <f>IF($A30="","",COUNTIFS(Lines!$B$5:$B$204,$A30,Lines!$L$5:$L$204,"&gt;0"))</f>
        <v/>
      </c>
      <c r="M30" s="10">
        <f>IF($A30="","",SUMIFS(Lines!$M$5:$M$204,Lines!$B$5:$B$204,$A30))</f>
        <v/>
      </c>
      <c r="N30" s="13">
        <f>IF($A30="","",COUNTIFS(Lines!$B$5:$B$204,$A30,Lines!$O$5:$O$204,"&gt;0"))</f>
        <v/>
      </c>
      <c r="O30" s="13">
        <f>IF($A30="","",COUNTIFS(Lines!$B$5:$B$204,$A30,Lines!$O$5:$O$204,"&gt;=15"))</f>
        <v/>
      </c>
      <c r="P30" s="15">
        <f>IF($A30="","",IFERROR(AVERAGEIFS(Lines!$O$5:$O$204,Lines!$B$5:$B$204,$A30,Lines!$O$5:$O$204,"&gt;0"),0))</f>
        <v/>
      </c>
    </row>
    <row r="31">
      <c r="A31" s="7" t="n"/>
      <c r="B31" s="7" t="n"/>
      <c r="C31" s="7" t="n"/>
      <c r="D31" s="7" t="n"/>
      <c r="E31" s="7" t="n"/>
      <c r="F31" s="8" t="n"/>
      <c r="G31" s="8" t="n"/>
      <c r="H31" s="7" t="n"/>
      <c r="I31" s="7" t="n"/>
      <c r="J31" s="13">
        <f>IF($A31="","",COUNTIFS(Lines!$B$5:$B$204,$A31))</f>
        <v/>
      </c>
      <c r="K31" s="10">
        <f>IF($A31="","",SUMIFS(Lines!$F$5:$F$204,Lines!$B$5:$B$204,$A31))</f>
        <v/>
      </c>
      <c r="L31" s="13">
        <f>IF($A31="","",COUNTIFS(Lines!$B$5:$B$204,$A31,Lines!$L$5:$L$204,"&gt;0"))</f>
        <v/>
      </c>
      <c r="M31" s="10">
        <f>IF($A31="","",SUMIFS(Lines!$M$5:$M$204,Lines!$B$5:$B$204,$A31))</f>
        <v/>
      </c>
      <c r="N31" s="13">
        <f>IF($A31="","",COUNTIFS(Lines!$B$5:$B$204,$A31,Lines!$O$5:$O$204,"&gt;0"))</f>
        <v/>
      </c>
      <c r="O31" s="13">
        <f>IF($A31="","",COUNTIFS(Lines!$B$5:$B$204,$A31,Lines!$O$5:$O$204,"&gt;=15"))</f>
        <v/>
      </c>
      <c r="P31" s="15">
        <f>IF($A31="","",IFERROR(AVERAGEIFS(Lines!$O$5:$O$204,Lines!$B$5:$B$204,$A31,Lines!$O$5:$O$204,"&gt;0"),0))</f>
        <v/>
      </c>
    </row>
    <row r="32">
      <c r="A32" s="7" t="n"/>
      <c r="B32" s="7" t="n"/>
      <c r="C32" s="7" t="n"/>
      <c r="D32" s="7" t="n"/>
      <c r="E32" s="7" t="n"/>
      <c r="F32" s="8" t="n"/>
      <c r="G32" s="8" t="n"/>
      <c r="H32" s="7" t="n"/>
      <c r="I32" s="7" t="n"/>
      <c r="J32" s="13">
        <f>IF($A32="","",COUNTIFS(Lines!$B$5:$B$204,$A32))</f>
        <v/>
      </c>
      <c r="K32" s="10">
        <f>IF($A32="","",SUMIFS(Lines!$F$5:$F$204,Lines!$B$5:$B$204,$A32))</f>
        <v/>
      </c>
      <c r="L32" s="13">
        <f>IF($A32="","",COUNTIFS(Lines!$B$5:$B$204,$A32,Lines!$L$5:$L$204,"&gt;0"))</f>
        <v/>
      </c>
      <c r="M32" s="10">
        <f>IF($A32="","",SUMIFS(Lines!$M$5:$M$204,Lines!$B$5:$B$204,$A32))</f>
        <v/>
      </c>
      <c r="N32" s="13">
        <f>IF($A32="","",COUNTIFS(Lines!$B$5:$B$204,$A32,Lines!$O$5:$O$204,"&gt;0"))</f>
        <v/>
      </c>
      <c r="O32" s="13">
        <f>IF($A32="","",COUNTIFS(Lines!$B$5:$B$204,$A32,Lines!$O$5:$O$204,"&gt;=15"))</f>
        <v/>
      </c>
      <c r="P32" s="15">
        <f>IF($A32="","",IFERROR(AVERAGEIFS(Lines!$O$5:$O$204,Lines!$B$5:$B$204,$A32,Lines!$O$5:$O$204,"&gt;0"),0))</f>
        <v/>
      </c>
    </row>
    <row r="33">
      <c r="A33" s="7" t="n"/>
      <c r="B33" s="7" t="n"/>
      <c r="C33" s="7" t="n"/>
      <c r="D33" s="7" t="n"/>
      <c r="E33" s="7" t="n"/>
      <c r="F33" s="8" t="n"/>
      <c r="G33" s="8" t="n"/>
      <c r="H33" s="7" t="n"/>
      <c r="I33" s="7" t="n"/>
      <c r="J33" s="13">
        <f>IF($A33="","",COUNTIFS(Lines!$B$5:$B$204,$A33))</f>
        <v/>
      </c>
      <c r="K33" s="10">
        <f>IF($A33="","",SUMIFS(Lines!$F$5:$F$204,Lines!$B$5:$B$204,$A33))</f>
        <v/>
      </c>
      <c r="L33" s="13">
        <f>IF($A33="","",COUNTIFS(Lines!$B$5:$B$204,$A33,Lines!$L$5:$L$204,"&gt;0"))</f>
        <v/>
      </c>
      <c r="M33" s="10">
        <f>IF($A33="","",SUMIFS(Lines!$M$5:$M$204,Lines!$B$5:$B$204,$A33))</f>
        <v/>
      </c>
      <c r="N33" s="13">
        <f>IF($A33="","",COUNTIFS(Lines!$B$5:$B$204,$A33,Lines!$O$5:$O$204,"&gt;0"))</f>
        <v/>
      </c>
      <c r="O33" s="13">
        <f>IF($A33="","",COUNTIFS(Lines!$B$5:$B$204,$A33,Lines!$O$5:$O$204,"&gt;=15"))</f>
        <v/>
      </c>
      <c r="P33" s="15">
        <f>IF($A33="","",IFERROR(AVERAGEIFS(Lines!$O$5:$O$204,Lines!$B$5:$B$204,$A33,Lines!$O$5:$O$204,"&gt;0"),0))</f>
        <v/>
      </c>
    </row>
    <row r="34">
      <c r="A34" s="7" t="n"/>
      <c r="B34" s="7" t="n"/>
      <c r="C34" s="7" t="n"/>
      <c r="D34" s="7" t="n"/>
      <c r="E34" s="7" t="n"/>
      <c r="F34" s="8" t="n"/>
      <c r="G34" s="8" t="n"/>
      <c r="H34" s="7" t="n"/>
      <c r="I34" s="7" t="n"/>
      <c r="J34" s="13">
        <f>IF($A34="","",COUNTIFS(Lines!$B$5:$B$204,$A34))</f>
        <v/>
      </c>
      <c r="K34" s="10">
        <f>IF($A34="","",SUMIFS(Lines!$F$5:$F$204,Lines!$B$5:$B$204,$A34))</f>
        <v/>
      </c>
      <c r="L34" s="13">
        <f>IF($A34="","",COUNTIFS(Lines!$B$5:$B$204,$A34,Lines!$L$5:$L$204,"&gt;0"))</f>
        <v/>
      </c>
      <c r="M34" s="10">
        <f>IF($A34="","",SUMIFS(Lines!$M$5:$M$204,Lines!$B$5:$B$204,$A34))</f>
        <v/>
      </c>
      <c r="N34" s="13">
        <f>IF($A34="","",COUNTIFS(Lines!$B$5:$B$204,$A34,Lines!$O$5:$O$204,"&gt;0"))</f>
        <v/>
      </c>
      <c r="O34" s="13">
        <f>IF($A34="","",COUNTIFS(Lines!$B$5:$B$204,$A34,Lines!$O$5:$O$204,"&gt;=15"))</f>
        <v/>
      </c>
      <c r="P34" s="15">
        <f>IF($A34="","",IFERROR(AVERAGEIFS(Lines!$O$5:$O$204,Lines!$B$5:$B$204,$A34,Lines!$O$5:$O$204,"&gt;0"),0))</f>
        <v/>
      </c>
    </row>
    <row r="35">
      <c r="A35" s="7" t="n"/>
      <c r="B35" s="7" t="n"/>
      <c r="C35" s="7" t="n"/>
      <c r="D35" s="7" t="n"/>
      <c r="E35" s="7" t="n"/>
      <c r="F35" s="8" t="n"/>
      <c r="G35" s="8" t="n"/>
      <c r="H35" s="7" t="n"/>
      <c r="I35" s="7" t="n"/>
      <c r="J35" s="13">
        <f>IF($A35="","",COUNTIFS(Lines!$B$5:$B$204,$A35))</f>
        <v/>
      </c>
      <c r="K35" s="10">
        <f>IF($A35="","",SUMIFS(Lines!$F$5:$F$204,Lines!$B$5:$B$204,$A35))</f>
        <v/>
      </c>
      <c r="L35" s="13">
        <f>IF($A35="","",COUNTIFS(Lines!$B$5:$B$204,$A35,Lines!$L$5:$L$204,"&gt;0"))</f>
        <v/>
      </c>
      <c r="M35" s="10">
        <f>IF($A35="","",SUMIFS(Lines!$M$5:$M$204,Lines!$B$5:$B$204,$A35))</f>
        <v/>
      </c>
      <c r="N35" s="13">
        <f>IF($A35="","",COUNTIFS(Lines!$B$5:$B$204,$A35,Lines!$O$5:$O$204,"&gt;0"))</f>
        <v/>
      </c>
      <c r="O35" s="13">
        <f>IF($A35="","",COUNTIFS(Lines!$B$5:$B$204,$A35,Lines!$O$5:$O$204,"&gt;=15"))</f>
        <v/>
      </c>
      <c r="P35" s="15">
        <f>IF($A35="","",IFERROR(AVERAGEIFS(Lines!$O$5:$O$204,Lines!$B$5:$B$204,$A35,Lines!$O$5:$O$204,"&gt;0"),0))</f>
        <v/>
      </c>
    </row>
    <row r="36">
      <c r="A36" s="7" t="n"/>
      <c r="B36" s="7" t="n"/>
      <c r="C36" s="7" t="n"/>
      <c r="D36" s="7" t="n"/>
      <c r="E36" s="7" t="n"/>
      <c r="F36" s="8" t="n"/>
      <c r="G36" s="8" t="n"/>
      <c r="H36" s="7" t="n"/>
      <c r="I36" s="7" t="n"/>
      <c r="J36" s="13">
        <f>IF($A36="","",COUNTIFS(Lines!$B$5:$B$204,$A36))</f>
        <v/>
      </c>
      <c r="K36" s="10">
        <f>IF($A36="","",SUMIFS(Lines!$F$5:$F$204,Lines!$B$5:$B$204,$A36))</f>
        <v/>
      </c>
      <c r="L36" s="13">
        <f>IF($A36="","",COUNTIFS(Lines!$B$5:$B$204,$A36,Lines!$L$5:$L$204,"&gt;0"))</f>
        <v/>
      </c>
      <c r="M36" s="10">
        <f>IF($A36="","",SUMIFS(Lines!$M$5:$M$204,Lines!$B$5:$B$204,$A36))</f>
        <v/>
      </c>
      <c r="N36" s="13">
        <f>IF($A36="","",COUNTIFS(Lines!$B$5:$B$204,$A36,Lines!$O$5:$O$204,"&gt;0"))</f>
        <v/>
      </c>
      <c r="O36" s="13">
        <f>IF($A36="","",COUNTIFS(Lines!$B$5:$B$204,$A36,Lines!$O$5:$O$204,"&gt;=15"))</f>
        <v/>
      </c>
      <c r="P36" s="15">
        <f>IF($A36="","",IFERROR(AVERAGEIFS(Lines!$O$5:$O$204,Lines!$B$5:$B$204,$A36,Lines!$O$5:$O$204,"&gt;0"),0))</f>
        <v/>
      </c>
    </row>
    <row r="37">
      <c r="A37" s="7" t="n"/>
      <c r="B37" s="7" t="n"/>
      <c r="C37" s="7" t="n"/>
      <c r="D37" s="7" t="n"/>
      <c r="E37" s="7" t="n"/>
      <c r="F37" s="8" t="n"/>
      <c r="G37" s="8" t="n"/>
      <c r="H37" s="7" t="n"/>
      <c r="I37" s="7" t="n"/>
      <c r="J37" s="13">
        <f>IF($A37="","",COUNTIFS(Lines!$B$5:$B$204,$A37))</f>
        <v/>
      </c>
      <c r="K37" s="10">
        <f>IF($A37="","",SUMIFS(Lines!$F$5:$F$204,Lines!$B$5:$B$204,$A37))</f>
        <v/>
      </c>
      <c r="L37" s="13">
        <f>IF($A37="","",COUNTIFS(Lines!$B$5:$B$204,$A37,Lines!$L$5:$L$204,"&gt;0"))</f>
        <v/>
      </c>
      <c r="M37" s="10">
        <f>IF($A37="","",SUMIFS(Lines!$M$5:$M$204,Lines!$B$5:$B$204,$A37))</f>
        <v/>
      </c>
      <c r="N37" s="13">
        <f>IF($A37="","",COUNTIFS(Lines!$B$5:$B$204,$A37,Lines!$O$5:$O$204,"&gt;0"))</f>
        <v/>
      </c>
      <c r="O37" s="13">
        <f>IF($A37="","",COUNTIFS(Lines!$B$5:$B$204,$A37,Lines!$O$5:$O$204,"&gt;=15"))</f>
        <v/>
      </c>
      <c r="P37" s="15">
        <f>IF($A37="","",IFERROR(AVERAGEIFS(Lines!$O$5:$O$204,Lines!$B$5:$B$204,$A37,Lines!$O$5:$O$204,"&gt;0"),0))</f>
        <v/>
      </c>
    </row>
    <row r="38">
      <c r="A38" s="7" t="n"/>
      <c r="B38" s="7" t="n"/>
      <c r="C38" s="7" t="n"/>
      <c r="D38" s="7" t="n"/>
      <c r="E38" s="7" t="n"/>
      <c r="F38" s="8" t="n"/>
      <c r="G38" s="8" t="n"/>
      <c r="H38" s="7" t="n"/>
      <c r="I38" s="7" t="n"/>
      <c r="J38" s="13">
        <f>IF($A38="","",COUNTIFS(Lines!$B$5:$B$204,$A38))</f>
        <v/>
      </c>
      <c r="K38" s="10">
        <f>IF($A38="","",SUMIFS(Lines!$F$5:$F$204,Lines!$B$5:$B$204,$A38))</f>
        <v/>
      </c>
      <c r="L38" s="13">
        <f>IF($A38="","",COUNTIFS(Lines!$B$5:$B$204,$A38,Lines!$L$5:$L$204,"&gt;0"))</f>
        <v/>
      </c>
      <c r="M38" s="10">
        <f>IF($A38="","",SUMIFS(Lines!$M$5:$M$204,Lines!$B$5:$B$204,$A38))</f>
        <v/>
      </c>
      <c r="N38" s="13">
        <f>IF($A38="","",COUNTIFS(Lines!$B$5:$B$204,$A38,Lines!$O$5:$O$204,"&gt;0"))</f>
        <v/>
      </c>
      <c r="O38" s="13">
        <f>IF($A38="","",COUNTIFS(Lines!$B$5:$B$204,$A38,Lines!$O$5:$O$204,"&gt;=15"))</f>
        <v/>
      </c>
      <c r="P38" s="15">
        <f>IF($A38="","",IFERROR(AVERAGEIFS(Lines!$O$5:$O$204,Lines!$B$5:$B$204,$A38,Lines!$O$5:$O$204,"&gt;0"),0))</f>
        <v/>
      </c>
    </row>
    <row r="39">
      <c r="A39" s="7" t="n"/>
      <c r="B39" s="7" t="n"/>
      <c r="C39" s="7" t="n"/>
      <c r="D39" s="7" t="n"/>
      <c r="E39" s="7" t="n"/>
      <c r="F39" s="8" t="n"/>
      <c r="G39" s="8" t="n"/>
      <c r="H39" s="7" t="n"/>
      <c r="I39" s="7" t="n"/>
      <c r="J39" s="13">
        <f>IF($A39="","",COUNTIFS(Lines!$B$5:$B$204,$A39))</f>
        <v/>
      </c>
      <c r="K39" s="10">
        <f>IF($A39="","",SUMIFS(Lines!$F$5:$F$204,Lines!$B$5:$B$204,$A39))</f>
        <v/>
      </c>
      <c r="L39" s="13">
        <f>IF($A39="","",COUNTIFS(Lines!$B$5:$B$204,$A39,Lines!$L$5:$L$204,"&gt;0"))</f>
        <v/>
      </c>
      <c r="M39" s="10">
        <f>IF($A39="","",SUMIFS(Lines!$M$5:$M$204,Lines!$B$5:$B$204,$A39))</f>
        <v/>
      </c>
      <c r="N39" s="13">
        <f>IF($A39="","",COUNTIFS(Lines!$B$5:$B$204,$A39,Lines!$O$5:$O$204,"&gt;0"))</f>
        <v/>
      </c>
      <c r="O39" s="13">
        <f>IF($A39="","",COUNTIFS(Lines!$B$5:$B$204,$A39,Lines!$O$5:$O$204,"&gt;=15"))</f>
        <v/>
      </c>
      <c r="P39" s="15">
        <f>IF($A39="","",IFERROR(AVERAGEIFS(Lines!$O$5:$O$204,Lines!$B$5:$B$204,$A39,Lines!$O$5:$O$204,"&gt;0"),0))</f>
        <v/>
      </c>
    </row>
    <row r="40">
      <c r="A40" s="7" t="n"/>
      <c r="B40" s="7" t="n"/>
      <c r="C40" s="7" t="n"/>
      <c r="D40" s="7" t="n"/>
      <c r="E40" s="7" t="n"/>
      <c r="F40" s="8" t="n"/>
      <c r="G40" s="8" t="n"/>
      <c r="H40" s="7" t="n"/>
      <c r="I40" s="7" t="n"/>
      <c r="J40" s="13">
        <f>IF($A40="","",COUNTIFS(Lines!$B$5:$B$204,$A40))</f>
        <v/>
      </c>
      <c r="K40" s="10">
        <f>IF($A40="","",SUMIFS(Lines!$F$5:$F$204,Lines!$B$5:$B$204,$A40))</f>
        <v/>
      </c>
      <c r="L40" s="13">
        <f>IF($A40="","",COUNTIFS(Lines!$B$5:$B$204,$A40,Lines!$L$5:$L$204,"&gt;0"))</f>
        <v/>
      </c>
      <c r="M40" s="10">
        <f>IF($A40="","",SUMIFS(Lines!$M$5:$M$204,Lines!$B$5:$B$204,$A40))</f>
        <v/>
      </c>
      <c r="N40" s="13">
        <f>IF($A40="","",COUNTIFS(Lines!$B$5:$B$204,$A40,Lines!$O$5:$O$204,"&gt;0"))</f>
        <v/>
      </c>
      <c r="O40" s="13">
        <f>IF($A40="","",COUNTIFS(Lines!$B$5:$B$204,$A40,Lines!$O$5:$O$204,"&gt;=15"))</f>
        <v/>
      </c>
      <c r="P40" s="15">
        <f>IF($A40="","",IFERROR(AVERAGEIFS(Lines!$O$5:$O$204,Lines!$B$5:$B$204,$A40,Lines!$O$5:$O$204,"&gt;0"),0))</f>
        <v/>
      </c>
    </row>
    <row r="41">
      <c r="A41" s="7" t="n"/>
      <c r="B41" s="7" t="n"/>
      <c r="C41" s="7" t="n"/>
      <c r="D41" s="7" t="n"/>
      <c r="E41" s="7" t="n"/>
      <c r="F41" s="8" t="n"/>
      <c r="G41" s="8" t="n"/>
      <c r="H41" s="7" t="n"/>
      <c r="I41" s="7" t="n"/>
      <c r="J41" s="13">
        <f>IF($A41="","",COUNTIFS(Lines!$B$5:$B$204,$A41))</f>
        <v/>
      </c>
      <c r="K41" s="10">
        <f>IF($A41="","",SUMIFS(Lines!$F$5:$F$204,Lines!$B$5:$B$204,$A41))</f>
        <v/>
      </c>
      <c r="L41" s="13">
        <f>IF($A41="","",COUNTIFS(Lines!$B$5:$B$204,$A41,Lines!$L$5:$L$204,"&gt;0"))</f>
        <v/>
      </c>
      <c r="M41" s="10">
        <f>IF($A41="","",SUMIFS(Lines!$M$5:$M$204,Lines!$B$5:$B$204,$A41))</f>
        <v/>
      </c>
      <c r="N41" s="13">
        <f>IF($A41="","",COUNTIFS(Lines!$B$5:$B$204,$A41,Lines!$O$5:$O$204,"&gt;0"))</f>
        <v/>
      </c>
      <c r="O41" s="13">
        <f>IF($A41="","",COUNTIFS(Lines!$B$5:$B$204,$A41,Lines!$O$5:$O$204,"&gt;=15"))</f>
        <v/>
      </c>
      <c r="P41" s="15">
        <f>IF($A41="","",IFERROR(AVERAGEIFS(Lines!$O$5:$O$204,Lines!$B$5:$B$204,$A41,Lines!$O$5:$O$204,"&gt;0"),0))</f>
        <v/>
      </c>
    </row>
    <row r="42">
      <c r="A42" s="7" t="n"/>
      <c r="B42" s="7" t="n"/>
      <c r="C42" s="7" t="n"/>
      <c r="D42" s="7" t="n"/>
      <c r="E42" s="7" t="n"/>
      <c r="F42" s="8" t="n"/>
      <c r="G42" s="8" t="n"/>
      <c r="H42" s="7" t="n"/>
      <c r="I42" s="7" t="n"/>
      <c r="J42" s="13">
        <f>IF($A42="","",COUNTIFS(Lines!$B$5:$B$204,$A42))</f>
        <v/>
      </c>
      <c r="K42" s="10">
        <f>IF($A42="","",SUMIFS(Lines!$F$5:$F$204,Lines!$B$5:$B$204,$A42))</f>
        <v/>
      </c>
      <c r="L42" s="13">
        <f>IF($A42="","",COUNTIFS(Lines!$B$5:$B$204,$A42,Lines!$L$5:$L$204,"&gt;0"))</f>
        <v/>
      </c>
      <c r="M42" s="10">
        <f>IF($A42="","",SUMIFS(Lines!$M$5:$M$204,Lines!$B$5:$B$204,$A42))</f>
        <v/>
      </c>
      <c r="N42" s="13">
        <f>IF($A42="","",COUNTIFS(Lines!$B$5:$B$204,$A42,Lines!$O$5:$O$204,"&gt;0"))</f>
        <v/>
      </c>
      <c r="O42" s="13">
        <f>IF($A42="","",COUNTIFS(Lines!$B$5:$B$204,$A42,Lines!$O$5:$O$204,"&gt;=15"))</f>
        <v/>
      </c>
      <c r="P42" s="15">
        <f>IF($A42="","",IFERROR(AVERAGEIFS(Lines!$O$5:$O$204,Lines!$B$5:$B$204,$A42,Lines!$O$5:$O$204,"&gt;0"),0))</f>
        <v/>
      </c>
    </row>
    <row r="43">
      <c r="A43" s="7" t="n"/>
      <c r="B43" s="7" t="n"/>
      <c r="C43" s="7" t="n"/>
      <c r="D43" s="7" t="n"/>
      <c r="E43" s="7" t="n"/>
      <c r="F43" s="8" t="n"/>
      <c r="G43" s="8" t="n"/>
      <c r="H43" s="7" t="n"/>
      <c r="I43" s="7" t="n"/>
      <c r="J43" s="13">
        <f>IF($A43="","",COUNTIFS(Lines!$B$5:$B$204,$A43))</f>
        <v/>
      </c>
      <c r="K43" s="10">
        <f>IF($A43="","",SUMIFS(Lines!$F$5:$F$204,Lines!$B$5:$B$204,$A43))</f>
        <v/>
      </c>
      <c r="L43" s="13">
        <f>IF($A43="","",COUNTIFS(Lines!$B$5:$B$204,$A43,Lines!$L$5:$L$204,"&gt;0"))</f>
        <v/>
      </c>
      <c r="M43" s="10">
        <f>IF($A43="","",SUMIFS(Lines!$M$5:$M$204,Lines!$B$5:$B$204,$A43))</f>
        <v/>
      </c>
      <c r="N43" s="13">
        <f>IF($A43="","",COUNTIFS(Lines!$B$5:$B$204,$A43,Lines!$O$5:$O$204,"&gt;0"))</f>
        <v/>
      </c>
      <c r="O43" s="13">
        <f>IF($A43="","",COUNTIFS(Lines!$B$5:$B$204,$A43,Lines!$O$5:$O$204,"&gt;=15"))</f>
        <v/>
      </c>
      <c r="P43" s="15">
        <f>IF($A43="","",IFERROR(AVERAGEIFS(Lines!$O$5:$O$204,Lines!$B$5:$B$204,$A43,Lines!$O$5:$O$204,"&gt;0"),0))</f>
        <v/>
      </c>
    </row>
    <row r="44">
      <c r="A44" s="7" t="n"/>
      <c r="B44" s="7" t="n"/>
      <c r="C44" s="7" t="n"/>
      <c r="D44" s="7" t="n"/>
      <c r="E44" s="7" t="n"/>
      <c r="F44" s="8" t="n"/>
      <c r="G44" s="8" t="n"/>
      <c r="H44" s="7" t="n"/>
      <c r="I44" s="7" t="n"/>
      <c r="J44" s="13">
        <f>IF($A44="","",COUNTIFS(Lines!$B$5:$B$204,$A44))</f>
        <v/>
      </c>
      <c r="K44" s="10">
        <f>IF($A44="","",SUMIFS(Lines!$F$5:$F$204,Lines!$B$5:$B$204,$A44))</f>
        <v/>
      </c>
      <c r="L44" s="13">
        <f>IF($A44="","",COUNTIFS(Lines!$B$5:$B$204,$A44,Lines!$L$5:$L$204,"&gt;0"))</f>
        <v/>
      </c>
      <c r="M44" s="10">
        <f>IF($A44="","",SUMIFS(Lines!$M$5:$M$204,Lines!$B$5:$B$204,$A44))</f>
        <v/>
      </c>
      <c r="N44" s="13">
        <f>IF($A44="","",COUNTIFS(Lines!$B$5:$B$204,$A44,Lines!$O$5:$O$204,"&gt;0"))</f>
        <v/>
      </c>
      <c r="O44" s="13">
        <f>IF($A44="","",COUNTIFS(Lines!$B$5:$B$204,$A44,Lines!$O$5:$O$204,"&gt;=15"))</f>
        <v/>
      </c>
      <c r="P44" s="15">
        <f>IF($A44="","",IFERROR(AVERAGEIFS(Lines!$O$5:$O$204,Lines!$B$5:$B$204,$A44,Lines!$O$5:$O$204,"&gt;0"),0))</f>
        <v/>
      </c>
    </row>
    <row r="45">
      <c r="A45" s="7" t="n"/>
      <c r="B45" s="7" t="n"/>
      <c r="C45" s="7" t="n"/>
      <c r="D45" s="7" t="n"/>
      <c r="E45" s="7" t="n"/>
      <c r="F45" s="8" t="n"/>
      <c r="G45" s="8" t="n"/>
      <c r="H45" s="7" t="n"/>
      <c r="I45" s="7" t="n"/>
      <c r="J45" s="13">
        <f>IF($A45="","",COUNTIFS(Lines!$B$5:$B$204,$A45))</f>
        <v/>
      </c>
      <c r="K45" s="10">
        <f>IF($A45="","",SUMIFS(Lines!$F$5:$F$204,Lines!$B$5:$B$204,$A45))</f>
        <v/>
      </c>
      <c r="L45" s="13">
        <f>IF($A45="","",COUNTIFS(Lines!$B$5:$B$204,$A45,Lines!$L$5:$L$204,"&gt;0"))</f>
        <v/>
      </c>
      <c r="M45" s="10">
        <f>IF($A45="","",SUMIFS(Lines!$M$5:$M$204,Lines!$B$5:$B$204,$A45))</f>
        <v/>
      </c>
      <c r="N45" s="13">
        <f>IF($A45="","",COUNTIFS(Lines!$B$5:$B$204,$A45,Lines!$O$5:$O$204,"&gt;0"))</f>
        <v/>
      </c>
      <c r="O45" s="13">
        <f>IF($A45="","",COUNTIFS(Lines!$B$5:$B$204,$A45,Lines!$O$5:$O$204,"&gt;=15"))</f>
        <v/>
      </c>
      <c r="P45" s="15">
        <f>IF($A45="","",IFERROR(AVERAGEIFS(Lines!$O$5:$O$204,Lines!$B$5:$B$204,$A45,Lines!$O$5:$O$204,"&gt;0"),0))</f>
        <v/>
      </c>
    </row>
    <row r="46">
      <c r="A46" s="7" t="n"/>
      <c r="B46" s="7" t="n"/>
      <c r="C46" s="7" t="n"/>
      <c r="D46" s="7" t="n"/>
      <c r="E46" s="7" t="n"/>
      <c r="F46" s="8" t="n"/>
      <c r="G46" s="8" t="n"/>
      <c r="H46" s="7" t="n"/>
      <c r="I46" s="7" t="n"/>
      <c r="J46" s="13">
        <f>IF($A46="","",COUNTIFS(Lines!$B$5:$B$204,$A46))</f>
        <v/>
      </c>
      <c r="K46" s="10">
        <f>IF($A46="","",SUMIFS(Lines!$F$5:$F$204,Lines!$B$5:$B$204,$A46))</f>
        <v/>
      </c>
      <c r="L46" s="13">
        <f>IF($A46="","",COUNTIFS(Lines!$B$5:$B$204,$A46,Lines!$L$5:$L$204,"&gt;0"))</f>
        <v/>
      </c>
      <c r="M46" s="10">
        <f>IF($A46="","",SUMIFS(Lines!$M$5:$M$204,Lines!$B$5:$B$204,$A46))</f>
        <v/>
      </c>
      <c r="N46" s="13">
        <f>IF($A46="","",COUNTIFS(Lines!$B$5:$B$204,$A46,Lines!$O$5:$O$204,"&gt;0"))</f>
        <v/>
      </c>
      <c r="O46" s="13">
        <f>IF($A46="","",COUNTIFS(Lines!$B$5:$B$204,$A46,Lines!$O$5:$O$204,"&gt;=15"))</f>
        <v/>
      </c>
      <c r="P46" s="15">
        <f>IF($A46="","",IFERROR(AVERAGEIFS(Lines!$O$5:$O$204,Lines!$B$5:$B$204,$A46,Lines!$O$5:$O$204,"&gt;0"),0))</f>
        <v/>
      </c>
    </row>
    <row r="47">
      <c r="A47" s="7" t="n"/>
      <c r="B47" s="7" t="n"/>
      <c r="C47" s="7" t="n"/>
      <c r="D47" s="7" t="n"/>
      <c r="E47" s="7" t="n"/>
      <c r="F47" s="8" t="n"/>
      <c r="G47" s="8" t="n"/>
      <c r="H47" s="7" t="n"/>
      <c r="I47" s="7" t="n"/>
      <c r="J47" s="13">
        <f>IF($A47="","",COUNTIFS(Lines!$B$5:$B$204,$A47))</f>
        <v/>
      </c>
      <c r="K47" s="10">
        <f>IF($A47="","",SUMIFS(Lines!$F$5:$F$204,Lines!$B$5:$B$204,$A47))</f>
        <v/>
      </c>
      <c r="L47" s="13">
        <f>IF($A47="","",COUNTIFS(Lines!$B$5:$B$204,$A47,Lines!$L$5:$L$204,"&gt;0"))</f>
        <v/>
      </c>
      <c r="M47" s="10">
        <f>IF($A47="","",SUMIFS(Lines!$M$5:$M$204,Lines!$B$5:$B$204,$A47))</f>
        <v/>
      </c>
      <c r="N47" s="13">
        <f>IF($A47="","",COUNTIFS(Lines!$B$5:$B$204,$A47,Lines!$O$5:$O$204,"&gt;0"))</f>
        <v/>
      </c>
      <c r="O47" s="13">
        <f>IF($A47="","",COUNTIFS(Lines!$B$5:$B$204,$A47,Lines!$O$5:$O$204,"&gt;=15"))</f>
        <v/>
      </c>
      <c r="P47" s="15">
        <f>IF($A47="","",IFERROR(AVERAGEIFS(Lines!$O$5:$O$204,Lines!$B$5:$B$204,$A47,Lines!$O$5:$O$204,"&gt;0"),0))</f>
        <v/>
      </c>
    </row>
    <row r="48">
      <c r="A48" s="7" t="n"/>
      <c r="B48" s="7" t="n"/>
      <c r="C48" s="7" t="n"/>
      <c r="D48" s="7" t="n"/>
      <c r="E48" s="7" t="n"/>
      <c r="F48" s="8" t="n"/>
      <c r="G48" s="8" t="n"/>
      <c r="H48" s="7" t="n"/>
      <c r="I48" s="7" t="n"/>
      <c r="J48" s="13">
        <f>IF($A48="","",COUNTIFS(Lines!$B$5:$B$204,$A48))</f>
        <v/>
      </c>
      <c r="K48" s="10">
        <f>IF($A48="","",SUMIFS(Lines!$F$5:$F$204,Lines!$B$5:$B$204,$A48))</f>
        <v/>
      </c>
      <c r="L48" s="13">
        <f>IF($A48="","",COUNTIFS(Lines!$B$5:$B$204,$A48,Lines!$L$5:$L$204,"&gt;0"))</f>
        <v/>
      </c>
      <c r="M48" s="10">
        <f>IF($A48="","",SUMIFS(Lines!$M$5:$M$204,Lines!$B$5:$B$204,$A48))</f>
        <v/>
      </c>
      <c r="N48" s="13">
        <f>IF($A48="","",COUNTIFS(Lines!$B$5:$B$204,$A48,Lines!$O$5:$O$204,"&gt;0"))</f>
        <v/>
      </c>
      <c r="O48" s="13">
        <f>IF($A48="","",COUNTIFS(Lines!$B$5:$B$204,$A48,Lines!$O$5:$O$204,"&gt;=15"))</f>
        <v/>
      </c>
      <c r="P48" s="15">
        <f>IF($A48="","",IFERROR(AVERAGEIFS(Lines!$O$5:$O$204,Lines!$B$5:$B$204,$A48,Lines!$O$5:$O$204,"&gt;0"),0))</f>
        <v/>
      </c>
    </row>
    <row r="49">
      <c r="A49" s="7" t="n"/>
      <c r="B49" s="7" t="n"/>
      <c r="C49" s="7" t="n"/>
      <c r="D49" s="7" t="n"/>
      <c r="E49" s="7" t="n"/>
      <c r="F49" s="8" t="n"/>
      <c r="G49" s="8" t="n"/>
      <c r="H49" s="7" t="n"/>
      <c r="I49" s="7" t="n"/>
      <c r="J49" s="13">
        <f>IF($A49="","",COUNTIFS(Lines!$B$5:$B$204,$A49))</f>
        <v/>
      </c>
      <c r="K49" s="10">
        <f>IF($A49="","",SUMIFS(Lines!$F$5:$F$204,Lines!$B$5:$B$204,$A49))</f>
        <v/>
      </c>
      <c r="L49" s="13">
        <f>IF($A49="","",COUNTIFS(Lines!$B$5:$B$204,$A49,Lines!$L$5:$L$204,"&gt;0"))</f>
        <v/>
      </c>
      <c r="M49" s="10">
        <f>IF($A49="","",SUMIFS(Lines!$M$5:$M$204,Lines!$B$5:$B$204,$A49))</f>
        <v/>
      </c>
      <c r="N49" s="13">
        <f>IF($A49="","",COUNTIFS(Lines!$B$5:$B$204,$A49,Lines!$O$5:$O$204,"&gt;0"))</f>
        <v/>
      </c>
      <c r="O49" s="13">
        <f>IF($A49="","",COUNTIFS(Lines!$B$5:$B$204,$A49,Lines!$O$5:$O$204,"&gt;=15"))</f>
        <v/>
      </c>
      <c r="P49" s="15">
        <f>IF($A49="","",IFERROR(AVERAGEIFS(Lines!$O$5:$O$204,Lines!$B$5:$B$204,$A49,Lines!$O$5:$O$204,"&gt;0"),0))</f>
        <v/>
      </c>
    </row>
    <row r="50">
      <c r="A50" s="7" t="n"/>
      <c r="B50" s="7" t="n"/>
      <c r="C50" s="7" t="n"/>
      <c r="D50" s="7" t="n"/>
      <c r="E50" s="7" t="n"/>
      <c r="F50" s="8" t="n"/>
      <c r="G50" s="8" t="n"/>
      <c r="H50" s="7" t="n"/>
      <c r="I50" s="7" t="n"/>
      <c r="J50" s="13">
        <f>IF($A50="","",COUNTIFS(Lines!$B$5:$B$204,$A50))</f>
        <v/>
      </c>
      <c r="K50" s="10">
        <f>IF($A50="","",SUMIFS(Lines!$F$5:$F$204,Lines!$B$5:$B$204,$A50))</f>
        <v/>
      </c>
      <c r="L50" s="13">
        <f>IF($A50="","",COUNTIFS(Lines!$B$5:$B$204,$A50,Lines!$L$5:$L$204,"&gt;0"))</f>
        <v/>
      </c>
      <c r="M50" s="10">
        <f>IF($A50="","",SUMIFS(Lines!$M$5:$M$204,Lines!$B$5:$B$204,$A50))</f>
        <v/>
      </c>
      <c r="N50" s="13">
        <f>IF($A50="","",COUNTIFS(Lines!$B$5:$B$204,$A50,Lines!$O$5:$O$204,"&gt;0"))</f>
        <v/>
      </c>
      <c r="O50" s="13">
        <f>IF($A50="","",COUNTIFS(Lines!$B$5:$B$204,$A50,Lines!$O$5:$O$204,"&gt;=15"))</f>
        <v/>
      </c>
      <c r="P50" s="15">
        <f>IF($A50="","",IFERROR(AVERAGEIFS(Lines!$O$5:$O$204,Lines!$B$5:$B$204,$A50,Lines!$O$5:$O$204,"&gt;0"),0))</f>
        <v/>
      </c>
    </row>
    <row r="51">
      <c r="A51" s="7" t="n"/>
      <c r="B51" s="7" t="n"/>
      <c r="C51" s="7" t="n"/>
      <c r="D51" s="7" t="n"/>
      <c r="E51" s="7" t="n"/>
      <c r="F51" s="8" t="n"/>
      <c r="G51" s="8" t="n"/>
      <c r="H51" s="7" t="n"/>
      <c r="I51" s="7" t="n"/>
      <c r="J51" s="13">
        <f>IF($A51="","",COUNTIFS(Lines!$B$5:$B$204,$A51))</f>
        <v/>
      </c>
      <c r="K51" s="10">
        <f>IF($A51="","",SUMIFS(Lines!$F$5:$F$204,Lines!$B$5:$B$204,$A51))</f>
        <v/>
      </c>
      <c r="L51" s="13">
        <f>IF($A51="","",COUNTIFS(Lines!$B$5:$B$204,$A51,Lines!$L$5:$L$204,"&gt;0"))</f>
        <v/>
      </c>
      <c r="M51" s="10">
        <f>IF($A51="","",SUMIFS(Lines!$M$5:$M$204,Lines!$B$5:$B$204,$A51))</f>
        <v/>
      </c>
      <c r="N51" s="13">
        <f>IF($A51="","",COUNTIFS(Lines!$B$5:$B$204,$A51,Lines!$O$5:$O$204,"&gt;0"))</f>
        <v/>
      </c>
      <c r="O51" s="13">
        <f>IF($A51="","",COUNTIFS(Lines!$B$5:$B$204,$A51,Lines!$O$5:$O$204,"&gt;=15"))</f>
        <v/>
      </c>
      <c r="P51" s="15">
        <f>IF($A51="","",IFERROR(AVERAGEIFS(Lines!$O$5:$O$204,Lines!$B$5:$B$204,$A51,Lines!$O$5:$O$204,"&gt;0"),0))</f>
        <v/>
      </c>
    </row>
    <row r="52">
      <c r="A52" s="7" t="n"/>
      <c r="B52" s="7" t="n"/>
      <c r="C52" s="7" t="n"/>
      <c r="D52" s="7" t="n"/>
      <c r="E52" s="7" t="n"/>
      <c r="F52" s="8" t="n"/>
      <c r="G52" s="8" t="n"/>
      <c r="H52" s="7" t="n"/>
      <c r="I52" s="7" t="n"/>
      <c r="J52" s="13">
        <f>IF($A52="","",COUNTIFS(Lines!$B$5:$B$204,$A52))</f>
        <v/>
      </c>
      <c r="K52" s="10">
        <f>IF($A52="","",SUMIFS(Lines!$F$5:$F$204,Lines!$B$5:$B$204,$A52))</f>
        <v/>
      </c>
      <c r="L52" s="13">
        <f>IF($A52="","",COUNTIFS(Lines!$B$5:$B$204,$A52,Lines!$L$5:$L$204,"&gt;0"))</f>
        <v/>
      </c>
      <c r="M52" s="10">
        <f>IF($A52="","",SUMIFS(Lines!$M$5:$M$204,Lines!$B$5:$B$204,$A52))</f>
        <v/>
      </c>
      <c r="N52" s="13">
        <f>IF($A52="","",COUNTIFS(Lines!$B$5:$B$204,$A52,Lines!$O$5:$O$204,"&gt;0"))</f>
        <v/>
      </c>
      <c r="O52" s="13">
        <f>IF($A52="","",COUNTIFS(Lines!$B$5:$B$204,$A52,Lines!$O$5:$O$204,"&gt;=15"))</f>
        <v/>
      </c>
      <c r="P52" s="15">
        <f>IF($A52="","",IFERROR(AVERAGEIFS(Lines!$O$5:$O$204,Lines!$B$5:$B$204,$A52,Lines!$O$5:$O$204,"&gt;0"),0))</f>
        <v/>
      </c>
    </row>
    <row r="53">
      <c r="A53" s="7" t="n"/>
      <c r="B53" s="7" t="n"/>
      <c r="C53" s="7" t="n"/>
      <c r="D53" s="7" t="n"/>
      <c r="E53" s="7" t="n"/>
      <c r="F53" s="8" t="n"/>
      <c r="G53" s="8" t="n"/>
      <c r="H53" s="7" t="n"/>
      <c r="I53" s="7" t="n"/>
      <c r="J53" s="13">
        <f>IF($A53="","",COUNTIFS(Lines!$B$5:$B$204,$A53))</f>
        <v/>
      </c>
      <c r="K53" s="10">
        <f>IF($A53="","",SUMIFS(Lines!$F$5:$F$204,Lines!$B$5:$B$204,$A53))</f>
        <v/>
      </c>
      <c r="L53" s="13">
        <f>IF($A53="","",COUNTIFS(Lines!$B$5:$B$204,$A53,Lines!$L$5:$L$204,"&gt;0"))</f>
        <v/>
      </c>
      <c r="M53" s="10">
        <f>IF($A53="","",SUMIFS(Lines!$M$5:$M$204,Lines!$B$5:$B$204,$A53))</f>
        <v/>
      </c>
      <c r="N53" s="13">
        <f>IF($A53="","",COUNTIFS(Lines!$B$5:$B$204,$A53,Lines!$O$5:$O$204,"&gt;0"))</f>
        <v/>
      </c>
      <c r="O53" s="13">
        <f>IF($A53="","",COUNTIFS(Lines!$B$5:$B$204,$A53,Lines!$O$5:$O$204,"&gt;=15"))</f>
        <v/>
      </c>
      <c r="P53" s="15">
        <f>IF($A53="","",IFERROR(AVERAGEIFS(Lines!$O$5:$O$204,Lines!$B$5:$B$204,$A53,Lines!$O$5:$O$204,"&gt;0"),0))</f>
        <v/>
      </c>
    </row>
    <row r="54">
      <c r="A54" s="7" t="n"/>
      <c r="B54" s="7" t="n"/>
      <c r="C54" s="7" t="n"/>
      <c r="D54" s="7" t="n"/>
      <c r="E54" s="7" t="n"/>
      <c r="F54" s="8" t="n"/>
      <c r="G54" s="8" t="n"/>
      <c r="H54" s="7" t="n"/>
      <c r="I54" s="7" t="n"/>
      <c r="J54" s="13">
        <f>IF($A54="","",COUNTIFS(Lines!$B$5:$B$204,$A54))</f>
        <v/>
      </c>
      <c r="K54" s="10">
        <f>IF($A54="","",SUMIFS(Lines!$F$5:$F$204,Lines!$B$5:$B$204,$A54))</f>
        <v/>
      </c>
      <c r="L54" s="13">
        <f>IF($A54="","",COUNTIFS(Lines!$B$5:$B$204,$A54,Lines!$L$5:$L$204,"&gt;0"))</f>
        <v/>
      </c>
      <c r="M54" s="10">
        <f>IF($A54="","",SUMIFS(Lines!$M$5:$M$204,Lines!$B$5:$B$204,$A54))</f>
        <v/>
      </c>
      <c r="N54" s="13">
        <f>IF($A54="","",COUNTIFS(Lines!$B$5:$B$204,$A54,Lines!$O$5:$O$204,"&gt;0"))</f>
        <v/>
      </c>
      <c r="O54" s="13">
        <f>IF($A54="","",COUNTIFS(Lines!$B$5:$B$204,$A54,Lines!$O$5:$O$204,"&gt;=15"))</f>
        <v/>
      </c>
      <c r="P54" s="15">
        <f>IF($A54="","",IFERROR(AVERAGEIFS(Lines!$O$5:$O$204,Lines!$B$5:$B$204,$A54,Lines!$O$5:$O$204,"&gt;0"),0))</f>
        <v/>
      </c>
    </row>
    <row r="56">
      <c r="A56" s="2" t="inlineStr">
        <is>
          <t>Lead days is calendar days, not working days, because that is what a supplier quotes. If yours quotes working days, add the weekends before typing it here.</t>
        </is>
      </c>
    </row>
  </sheetDat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A1:H52"/>
  <sheetViews>
    <sheetView workbookViewId="0">
      <pane ySplit="18" topLeftCell="A19" activePane="bottomLeft" state="frozen"/>
      <selection pane="bottomLeft" activeCell="A1" sqref="A1"/>
    </sheetView>
  </sheetViews>
  <sheetFormatPr baseColWidth="8" defaultRowHeight="15"/>
  <cols>
    <col width="17" customWidth="1" min="1" max="1"/>
    <col width="30" customWidth="1" min="2" max="2"/>
    <col width="34" customWidth="1" min="3" max="3"/>
    <col width="9" customWidth="1" min="4" max="4"/>
    <col width="12" customWidth="1" min="5" max="5"/>
    <col width="13" customWidth="1" min="6" max="6"/>
    <col width="11" customWidth="1" min="7" max="7"/>
    <col width="13" customWidth="1" min="8" max="8"/>
  </cols>
  <sheetData>
    <row r="1">
      <c r="A1" s="1" t="inlineStr">
        <is>
          <t>Purchase order</t>
        </is>
      </c>
    </row>
    <row r="2">
      <c r="A2" s="2" t="inlineStr">
        <is>
          <t>Type a PO number into B4 and the whole document repopulates from Lines. Print this tab; the print area is already set.</t>
        </is>
      </c>
    </row>
    <row r="4">
      <c r="A4" s="3" t="inlineStr">
        <is>
          <t>PO number to print</t>
        </is>
      </c>
      <c r="B4" s="7" t="inlineStr">
        <is>
          <t>PO-2211</t>
        </is>
      </c>
      <c r="D4" s="3" t="inlineStr">
        <is>
          <t>Next free number</t>
        </is>
      </c>
      <c r="E4" s="16">
        <f>IFERROR("PO-"&amp;TEXT(MAX(Lines!$P$5:$P$204)+1,"0000"),"PO-0001")</f>
        <v/>
      </c>
    </row>
    <row r="5">
      <c r="A5" s="3" t="inlineStr">
        <is>
          <t>Lines on this PO</t>
        </is>
      </c>
      <c r="B5" s="17">
        <f>COUNTIFS(Lines!$A$5:$A$204,$B$4)</f>
        <v/>
      </c>
      <c r="D5" s="3" t="inlineStr">
        <is>
          <t>Order total</t>
        </is>
      </c>
      <c r="E5" s="18">
        <f>SUMIFS(Lines!$F$5:$F$204,Lines!$A$5:$A$204,$B$4)</f>
        <v/>
      </c>
    </row>
    <row r="7">
      <c r="A7" s="3" t="inlineStr">
        <is>
          <t>From — your company</t>
        </is>
      </c>
      <c r="D7" s="3" t="inlineStr">
        <is>
          <t>To — supplier</t>
        </is>
      </c>
    </row>
    <row r="8">
      <c r="A8" s="19" t="inlineStr">
        <is>
          <t>Company</t>
        </is>
      </c>
      <c r="B8" s="7" t="inlineStr">
        <is>
          <t>Your Company Ltd</t>
        </is>
      </c>
      <c r="D8" s="19" t="inlineStr">
        <is>
          <t>Supplier</t>
        </is>
      </c>
      <c r="E8" s="16">
        <f>IFERROR(INDEX(Lines!$B$5:$B$204,MATCH($B$4,Lines!$A$5:$A$204,0))&amp;"","")</f>
        <v/>
      </c>
    </row>
    <row r="9">
      <c r="A9" s="19" t="inlineStr">
        <is>
          <t>Address</t>
        </is>
      </c>
      <c r="B9" s="7" t="inlineStr">
        <is>
          <t>12 Example Way, Manchester M1 2AB, United Kingdom</t>
        </is>
      </c>
      <c r="D9" s="19" t="inlineStr">
        <is>
          <t>Contact</t>
        </is>
      </c>
      <c r="E9" s="14">
        <f>IFERROR(VLOOKUP($E$8,Suppliers!$A$5:$I$54,2,FALSE)&amp;"","")</f>
        <v/>
      </c>
    </row>
    <row r="10">
      <c r="A10" s="19" t="inlineStr">
        <is>
          <t>Contact</t>
        </is>
      </c>
      <c r="B10" s="7" t="inlineStr">
        <is>
          <t>Purchasing</t>
        </is>
      </c>
      <c r="D10" s="19" t="inlineStr">
        <is>
          <t>Email</t>
        </is>
      </c>
      <c r="E10" s="14">
        <f>IFERROR(VLOOKUP($E$8,Suppliers!$A$5:$I$54,3,FALSE)&amp;"","")</f>
        <v/>
      </c>
    </row>
    <row r="11">
      <c r="A11" s="19" t="inlineStr">
        <is>
          <t>Email</t>
        </is>
      </c>
      <c r="B11" s="7" t="inlineStr">
        <is>
          <t>purchasing@yourcompany.example</t>
        </is>
      </c>
      <c r="D11" s="19" t="inlineStr">
        <is>
          <t>Phone</t>
        </is>
      </c>
      <c r="E11" s="14">
        <f>IFERROR(VLOOKUP($E$8,Suppliers!$A$5:$I$54,4,FALSE)&amp;"","")</f>
        <v/>
      </c>
    </row>
    <row r="12">
      <c r="A12" s="19" t="inlineStr">
        <is>
          <t>Phone</t>
        </is>
      </c>
      <c r="B12" s="7" t="inlineStr">
        <is>
          <t>+44 161 000 0000</t>
        </is>
      </c>
      <c r="D12" s="19" t="inlineStr">
        <is>
          <t>Address</t>
        </is>
      </c>
      <c r="E12" s="14">
        <f>IFERROR(VLOOKUP($E$8,Suppliers!$A$5:$I$54,5,FALSE)&amp;"","")</f>
        <v/>
      </c>
    </row>
    <row r="14">
      <c r="A14" s="19" t="inlineStr">
        <is>
          <t>Order date</t>
        </is>
      </c>
      <c r="B14" s="12">
        <f>IFERROR(INDEX(Lines!$H$5:$H$204,MATCH($B$4,Lines!$A$5:$A$204,0)),"")</f>
        <v/>
      </c>
      <c r="D14" s="19" t="inlineStr">
        <is>
          <t>Payment terms (days)</t>
        </is>
      </c>
      <c r="E14" s="13">
        <f>IFERROR(VLOOKUP($E$8,Suppliers!$A$5:$I$54,6,FALSE),"")</f>
        <v/>
      </c>
    </row>
    <row r="15">
      <c r="A15" s="19" t="inlineStr">
        <is>
          <t>Expected delivery</t>
        </is>
      </c>
      <c r="B15" s="12">
        <f>IFERROR(INDEX(Lines!$I$5:$I$204,MATCH($B$4,Lines!$A$5:$A$204,0)),"")</f>
        <v/>
      </c>
      <c r="D15" s="19" t="inlineStr">
        <is>
          <t>Lead time (days)</t>
        </is>
      </c>
      <c r="E15" s="13">
        <f>IFERROR(VLOOKUP($E$8,Suppliers!$A$5:$I$54,7,FALSE),"")</f>
        <v/>
      </c>
    </row>
    <row r="16">
      <c r="A16" s="19" t="inlineStr">
        <is>
          <t>Deliver to</t>
        </is>
      </c>
      <c r="B16" s="7" t="inlineStr">
        <is>
          <t>Goods in, 12 Example Way, Manchester M1 2AB</t>
        </is>
      </c>
      <c r="D16" s="19" t="inlineStr">
        <is>
          <t>Currency</t>
        </is>
      </c>
      <c r="E16" s="14">
        <f>IFERROR(VLOOKUP($E$8,Suppliers!$A$5:$I$54,8,FALSE)&amp;"","")</f>
        <v/>
      </c>
    </row>
    <row r="18">
      <c r="A18" s="6" t="inlineStr">
        <is>
          <t>#</t>
        </is>
      </c>
      <c r="B18" s="6" t="inlineStr">
        <is>
          <t>Item</t>
        </is>
      </c>
      <c r="C18" s="6" t="inlineStr">
        <is>
          <t>Description</t>
        </is>
      </c>
      <c r="D18" s="6" t="inlineStr">
        <is>
          <t>Qty</t>
        </is>
      </c>
      <c r="E18" s="6" t="inlineStr">
        <is>
          <t>Unit price</t>
        </is>
      </c>
      <c r="F18" s="6" t="inlineStr">
        <is>
          <t>Line total</t>
        </is>
      </c>
      <c r="G18" s="6" t="inlineStr">
        <is>
          <t>Received</t>
        </is>
      </c>
      <c r="H18" s="6" t="inlineStr">
        <is>
          <t>Outstanding</t>
        </is>
      </c>
    </row>
    <row r="19">
      <c r="A19" s="13" t="n">
        <v>1</v>
      </c>
      <c r="B19" s="14">
        <f>IFERROR(INDEX(Lines!$C$5:$C$204,MATCH($B$4&amp;"|"&amp;$A19,Lines!$R$5:$R$204,0))&amp;"","")</f>
        <v/>
      </c>
      <c r="C19" s="14">
        <f>IFERROR(INDEX(Lines!$G$5:$G$204,MATCH($B$4&amp;"|"&amp;$A19,Lines!$R$5:$R$204,0))&amp;"","")</f>
        <v/>
      </c>
      <c r="D19" s="13">
        <f>IFERROR(INDEX(Lines!$D$5:$D$204,MATCH($B$4&amp;"|"&amp;$A19,Lines!$R$5:$R$204,0)),"")</f>
        <v/>
      </c>
      <c r="E19" s="10">
        <f>IFERROR(INDEX(Lines!$E$5:$E$204,MATCH($B$4&amp;"|"&amp;$A19,Lines!$R$5:$R$204,0)),"")</f>
        <v/>
      </c>
      <c r="F19" s="10">
        <f>IFERROR(INDEX(Lines!$F$5:$F$204,MATCH($B$4&amp;"|"&amp;$A19,Lines!$R$5:$R$204,0)),"")</f>
        <v/>
      </c>
      <c r="G19" s="13">
        <f>IFERROR(INDEX(Lines!$J$5:$J$204,MATCH($B$4&amp;"|"&amp;$A19,Lines!$R$5:$R$204,0)),"")</f>
        <v/>
      </c>
      <c r="H19" s="13">
        <f>IFERROR(INDEX(Lines!$L$5:$L$204,MATCH($B$4&amp;"|"&amp;$A19,Lines!$R$5:$R$204,0)),"")</f>
        <v/>
      </c>
    </row>
    <row r="20">
      <c r="A20" s="13" t="n">
        <v>2</v>
      </c>
      <c r="B20" s="14">
        <f>IFERROR(INDEX(Lines!$C$5:$C$204,MATCH($B$4&amp;"|"&amp;$A20,Lines!$R$5:$R$204,0))&amp;"","")</f>
        <v/>
      </c>
      <c r="C20" s="14">
        <f>IFERROR(INDEX(Lines!$G$5:$G$204,MATCH($B$4&amp;"|"&amp;$A20,Lines!$R$5:$R$204,0))&amp;"","")</f>
        <v/>
      </c>
      <c r="D20" s="13">
        <f>IFERROR(INDEX(Lines!$D$5:$D$204,MATCH($B$4&amp;"|"&amp;$A20,Lines!$R$5:$R$204,0)),"")</f>
        <v/>
      </c>
      <c r="E20" s="10">
        <f>IFERROR(INDEX(Lines!$E$5:$E$204,MATCH($B$4&amp;"|"&amp;$A20,Lines!$R$5:$R$204,0)),"")</f>
        <v/>
      </c>
      <c r="F20" s="10">
        <f>IFERROR(INDEX(Lines!$F$5:$F$204,MATCH($B$4&amp;"|"&amp;$A20,Lines!$R$5:$R$204,0)),"")</f>
        <v/>
      </c>
      <c r="G20" s="13">
        <f>IFERROR(INDEX(Lines!$J$5:$J$204,MATCH($B$4&amp;"|"&amp;$A20,Lines!$R$5:$R$204,0)),"")</f>
        <v/>
      </c>
      <c r="H20" s="13">
        <f>IFERROR(INDEX(Lines!$L$5:$L$204,MATCH($B$4&amp;"|"&amp;$A20,Lines!$R$5:$R$204,0)),"")</f>
        <v/>
      </c>
    </row>
    <row r="21">
      <c r="A21" s="13" t="n">
        <v>3</v>
      </c>
      <c r="B21" s="14">
        <f>IFERROR(INDEX(Lines!$C$5:$C$204,MATCH($B$4&amp;"|"&amp;$A21,Lines!$R$5:$R$204,0))&amp;"","")</f>
        <v/>
      </c>
      <c r="C21" s="14">
        <f>IFERROR(INDEX(Lines!$G$5:$G$204,MATCH($B$4&amp;"|"&amp;$A21,Lines!$R$5:$R$204,0))&amp;"","")</f>
        <v/>
      </c>
      <c r="D21" s="13">
        <f>IFERROR(INDEX(Lines!$D$5:$D$204,MATCH($B$4&amp;"|"&amp;$A21,Lines!$R$5:$R$204,0)),"")</f>
        <v/>
      </c>
      <c r="E21" s="10">
        <f>IFERROR(INDEX(Lines!$E$5:$E$204,MATCH($B$4&amp;"|"&amp;$A21,Lines!$R$5:$R$204,0)),"")</f>
        <v/>
      </c>
      <c r="F21" s="10">
        <f>IFERROR(INDEX(Lines!$F$5:$F$204,MATCH($B$4&amp;"|"&amp;$A21,Lines!$R$5:$R$204,0)),"")</f>
        <v/>
      </c>
      <c r="G21" s="13">
        <f>IFERROR(INDEX(Lines!$J$5:$J$204,MATCH($B$4&amp;"|"&amp;$A21,Lines!$R$5:$R$204,0)),"")</f>
        <v/>
      </c>
      <c r="H21" s="13">
        <f>IFERROR(INDEX(Lines!$L$5:$L$204,MATCH($B$4&amp;"|"&amp;$A21,Lines!$R$5:$R$204,0)),"")</f>
        <v/>
      </c>
    </row>
    <row r="22">
      <c r="A22" s="13" t="n">
        <v>4</v>
      </c>
      <c r="B22" s="14">
        <f>IFERROR(INDEX(Lines!$C$5:$C$204,MATCH($B$4&amp;"|"&amp;$A22,Lines!$R$5:$R$204,0))&amp;"","")</f>
        <v/>
      </c>
      <c r="C22" s="14">
        <f>IFERROR(INDEX(Lines!$G$5:$G$204,MATCH($B$4&amp;"|"&amp;$A22,Lines!$R$5:$R$204,0))&amp;"","")</f>
        <v/>
      </c>
      <c r="D22" s="13">
        <f>IFERROR(INDEX(Lines!$D$5:$D$204,MATCH($B$4&amp;"|"&amp;$A22,Lines!$R$5:$R$204,0)),"")</f>
        <v/>
      </c>
      <c r="E22" s="10">
        <f>IFERROR(INDEX(Lines!$E$5:$E$204,MATCH($B$4&amp;"|"&amp;$A22,Lines!$R$5:$R$204,0)),"")</f>
        <v/>
      </c>
      <c r="F22" s="10">
        <f>IFERROR(INDEX(Lines!$F$5:$F$204,MATCH($B$4&amp;"|"&amp;$A22,Lines!$R$5:$R$204,0)),"")</f>
        <v/>
      </c>
      <c r="G22" s="13">
        <f>IFERROR(INDEX(Lines!$J$5:$J$204,MATCH($B$4&amp;"|"&amp;$A22,Lines!$R$5:$R$204,0)),"")</f>
        <v/>
      </c>
      <c r="H22" s="13">
        <f>IFERROR(INDEX(Lines!$L$5:$L$204,MATCH($B$4&amp;"|"&amp;$A22,Lines!$R$5:$R$204,0)),"")</f>
        <v/>
      </c>
    </row>
    <row r="23">
      <c r="A23" s="13" t="n">
        <v>5</v>
      </c>
      <c r="B23" s="14">
        <f>IFERROR(INDEX(Lines!$C$5:$C$204,MATCH($B$4&amp;"|"&amp;$A23,Lines!$R$5:$R$204,0))&amp;"","")</f>
        <v/>
      </c>
      <c r="C23" s="14">
        <f>IFERROR(INDEX(Lines!$G$5:$G$204,MATCH($B$4&amp;"|"&amp;$A23,Lines!$R$5:$R$204,0))&amp;"","")</f>
        <v/>
      </c>
      <c r="D23" s="13">
        <f>IFERROR(INDEX(Lines!$D$5:$D$204,MATCH($B$4&amp;"|"&amp;$A23,Lines!$R$5:$R$204,0)),"")</f>
        <v/>
      </c>
      <c r="E23" s="10">
        <f>IFERROR(INDEX(Lines!$E$5:$E$204,MATCH($B$4&amp;"|"&amp;$A23,Lines!$R$5:$R$204,0)),"")</f>
        <v/>
      </c>
      <c r="F23" s="10">
        <f>IFERROR(INDEX(Lines!$F$5:$F$204,MATCH($B$4&amp;"|"&amp;$A23,Lines!$R$5:$R$204,0)),"")</f>
        <v/>
      </c>
      <c r="G23" s="13">
        <f>IFERROR(INDEX(Lines!$J$5:$J$204,MATCH($B$4&amp;"|"&amp;$A23,Lines!$R$5:$R$204,0)),"")</f>
        <v/>
      </c>
      <c r="H23" s="13">
        <f>IFERROR(INDEX(Lines!$L$5:$L$204,MATCH($B$4&amp;"|"&amp;$A23,Lines!$R$5:$R$204,0)),"")</f>
        <v/>
      </c>
    </row>
    <row r="24">
      <c r="A24" s="13" t="n">
        <v>6</v>
      </c>
      <c r="B24" s="14">
        <f>IFERROR(INDEX(Lines!$C$5:$C$204,MATCH($B$4&amp;"|"&amp;$A24,Lines!$R$5:$R$204,0))&amp;"","")</f>
        <v/>
      </c>
      <c r="C24" s="14">
        <f>IFERROR(INDEX(Lines!$G$5:$G$204,MATCH($B$4&amp;"|"&amp;$A24,Lines!$R$5:$R$204,0))&amp;"","")</f>
        <v/>
      </c>
      <c r="D24" s="13">
        <f>IFERROR(INDEX(Lines!$D$5:$D$204,MATCH($B$4&amp;"|"&amp;$A24,Lines!$R$5:$R$204,0)),"")</f>
        <v/>
      </c>
      <c r="E24" s="10">
        <f>IFERROR(INDEX(Lines!$E$5:$E$204,MATCH($B$4&amp;"|"&amp;$A24,Lines!$R$5:$R$204,0)),"")</f>
        <v/>
      </c>
      <c r="F24" s="10">
        <f>IFERROR(INDEX(Lines!$F$5:$F$204,MATCH($B$4&amp;"|"&amp;$A24,Lines!$R$5:$R$204,0)),"")</f>
        <v/>
      </c>
      <c r="G24" s="13">
        <f>IFERROR(INDEX(Lines!$J$5:$J$204,MATCH($B$4&amp;"|"&amp;$A24,Lines!$R$5:$R$204,0)),"")</f>
        <v/>
      </c>
      <c r="H24" s="13">
        <f>IFERROR(INDEX(Lines!$L$5:$L$204,MATCH($B$4&amp;"|"&amp;$A24,Lines!$R$5:$R$204,0)),"")</f>
        <v/>
      </c>
    </row>
    <row r="25">
      <c r="A25" s="13" t="n">
        <v>7</v>
      </c>
      <c r="B25" s="14">
        <f>IFERROR(INDEX(Lines!$C$5:$C$204,MATCH($B$4&amp;"|"&amp;$A25,Lines!$R$5:$R$204,0))&amp;"","")</f>
        <v/>
      </c>
      <c r="C25" s="14">
        <f>IFERROR(INDEX(Lines!$G$5:$G$204,MATCH($B$4&amp;"|"&amp;$A25,Lines!$R$5:$R$204,0))&amp;"","")</f>
        <v/>
      </c>
      <c r="D25" s="13">
        <f>IFERROR(INDEX(Lines!$D$5:$D$204,MATCH($B$4&amp;"|"&amp;$A25,Lines!$R$5:$R$204,0)),"")</f>
        <v/>
      </c>
      <c r="E25" s="10">
        <f>IFERROR(INDEX(Lines!$E$5:$E$204,MATCH($B$4&amp;"|"&amp;$A25,Lines!$R$5:$R$204,0)),"")</f>
        <v/>
      </c>
      <c r="F25" s="10">
        <f>IFERROR(INDEX(Lines!$F$5:$F$204,MATCH($B$4&amp;"|"&amp;$A25,Lines!$R$5:$R$204,0)),"")</f>
        <v/>
      </c>
      <c r="G25" s="13">
        <f>IFERROR(INDEX(Lines!$J$5:$J$204,MATCH($B$4&amp;"|"&amp;$A25,Lines!$R$5:$R$204,0)),"")</f>
        <v/>
      </c>
      <c r="H25" s="13">
        <f>IFERROR(INDEX(Lines!$L$5:$L$204,MATCH($B$4&amp;"|"&amp;$A25,Lines!$R$5:$R$204,0)),"")</f>
        <v/>
      </c>
    </row>
    <row r="26">
      <c r="A26" s="13" t="n">
        <v>8</v>
      </c>
      <c r="B26" s="14">
        <f>IFERROR(INDEX(Lines!$C$5:$C$204,MATCH($B$4&amp;"|"&amp;$A26,Lines!$R$5:$R$204,0))&amp;"","")</f>
        <v/>
      </c>
      <c r="C26" s="14">
        <f>IFERROR(INDEX(Lines!$G$5:$G$204,MATCH($B$4&amp;"|"&amp;$A26,Lines!$R$5:$R$204,0))&amp;"","")</f>
        <v/>
      </c>
      <c r="D26" s="13">
        <f>IFERROR(INDEX(Lines!$D$5:$D$204,MATCH($B$4&amp;"|"&amp;$A26,Lines!$R$5:$R$204,0)),"")</f>
        <v/>
      </c>
      <c r="E26" s="10">
        <f>IFERROR(INDEX(Lines!$E$5:$E$204,MATCH($B$4&amp;"|"&amp;$A26,Lines!$R$5:$R$204,0)),"")</f>
        <v/>
      </c>
      <c r="F26" s="10">
        <f>IFERROR(INDEX(Lines!$F$5:$F$204,MATCH($B$4&amp;"|"&amp;$A26,Lines!$R$5:$R$204,0)),"")</f>
        <v/>
      </c>
      <c r="G26" s="13">
        <f>IFERROR(INDEX(Lines!$J$5:$J$204,MATCH($B$4&amp;"|"&amp;$A26,Lines!$R$5:$R$204,0)),"")</f>
        <v/>
      </c>
      <c r="H26" s="13">
        <f>IFERROR(INDEX(Lines!$L$5:$L$204,MATCH($B$4&amp;"|"&amp;$A26,Lines!$R$5:$R$204,0)),"")</f>
        <v/>
      </c>
    </row>
    <row r="27">
      <c r="A27" s="13" t="n">
        <v>9</v>
      </c>
      <c r="B27" s="14">
        <f>IFERROR(INDEX(Lines!$C$5:$C$204,MATCH($B$4&amp;"|"&amp;$A27,Lines!$R$5:$R$204,0))&amp;"","")</f>
        <v/>
      </c>
      <c r="C27" s="14">
        <f>IFERROR(INDEX(Lines!$G$5:$G$204,MATCH($B$4&amp;"|"&amp;$A27,Lines!$R$5:$R$204,0))&amp;"","")</f>
        <v/>
      </c>
      <c r="D27" s="13">
        <f>IFERROR(INDEX(Lines!$D$5:$D$204,MATCH($B$4&amp;"|"&amp;$A27,Lines!$R$5:$R$204,0)),"")</f>
        <v/>
      </c>
      <c r="E27" s="10">
        <f>IFERROR(INDEX(Lines!$E$5:$E$204,MATCH($B$4&amp;"|"&amp;$A27,Lines!$R$5:$R$204,0)),"")</f>
        <v/>
      </c>
      <c r="F27" s="10">
        <f>IFERROR(INDEX(Lines!$F$5:$F$204,MATCH($B$4&amp;"|"&amp;$A27,Lines!$R$5:$R$204,0)),"")</f>
        <v/>
      </c>
      <c r="G27" s="13">
        <f>IFERROR(INDEX(Lines!$J$5:$J$204,MATCH($B$4&amp;"|"&amp;$A27,Lines!$R$5:$R$204,0)),"")</f>
        <v/>
      </c>
      <c r="H27" s="13">
        <f>IFERROR(INDEX(Lines!$L$5:$L$204,MATCH($B$4&amp;"|"&amp;$A27,Lines!$R$5:$R$204,0)),"")</f>
        <v/>
      </c>
    </row>
    <row r="28">
      <c r="A28" s="13" t="n">
        <v>10</v>
      </c>
      <c r="B28" s="14">
        <f>IFERROR(INDEX(Lines!$C$5:$C$204,MATCH($B$4&amp;"|"&amp;$A28,Lines!$R$5:$R$204,0))&amp;"","")</f>
        <v/>
      </c>
      <c r="C28" s="14">
        <f>IFERROR(INDEX(Lines!$G$5:$G$204,MATCH($B$4&amp;"|"&amp;$A28,Lines!$R$5:$R$204,0))&amp;"","")</f>
        <v/>
      </c>
      <c r="D28" s="13">
        <f>IFERROR(INDEX(Lines!$D$5:$D$204,MATCH($B$4&amp;"|"&amp;$A28,Lines!$R$5:$R$204,0)),"")</f>
        <v/>
      </c>
      <c r="E28" s="10">
        <f>IFERROR(INDEX(Lines!$E$5:$E$204,MATCH($B$4&amp;"|"&amp;$A28,Lines!$R$5:$R$204,0)),"")</f>
        <v/>
      </c>
      <c r="F28" s="10">
        <f>IFERROR(INDEX(Lines!$F$5:$F$204,MATCH($B$4&amp;"|"&amp;$A28,Lines!$R$5:$R$204,0)),"")</f>
        <v/>
      </c>
      <c r="G28" s="13">
        <f>IFERROR(INDEX(Lines!$J$5:$J$204,MATCH($B$4&amp;"|"&amp;$A28,Lines!$R$5:$R$204,0)),"")</f>
        <v/>
      </c>
      <c r="H28" s="13">
        <f>IFERROR(INDEX(Lines!$L$5:$L$204,MATCH($B$4&amp;"|"&amp;$A28,Lines!$R$5:$R$204,0)),"")</f>
        <v/>
      </c>
    </row>
    <row r="29">
      <c r="A29" s="13" t="n">
        <v>11</v>
      </c>
      <c r="B29" s="14">
        <f>IFERROR(INDEX(Lines!$C$5:$C$204,MATCH($B$4&amp;"|"&amp;$A29,Lines!$R$5:$R$204,0))&amp;"","")</f>
        <v/>
      </c>
      <c r="C29" s="14">
        <f>IFERROR(INDEX(Lines!$G$5:$G$204,MATCH($B$4&amp;"|"&amp;$A29,Lines!$R$5:$R$204,0))&amp;"","")</f>
        <v/>
      </c>
      <c r="D29" s="13">
        <f>IFERROR(INDEX(Lines!$D$5:$D$204,MATCH($B$4&amp;"|"&amp;$A29,Lines!$R$5:$R$204,0)),"")</f>
        <v/>
      </c>
      <c r="E29" s="10">
        <f>IFERROR(INDEX(Lines!$E$5:$E$204,MATCH($B$4&amp;"|"&amp;$A29,Lines!$R$5:$R$204,0)),"")</f>
        <v/>
      </c>
      <c r="F29" s="10">
        <f>IFERROR(INDEX(Lines!$F$5:$F$204,MATCH($B$4&amp;"|"&amp;$A29,Lines!$R$5:$R$204,0)),"")</f>
        <v/>
      </c>
      <c r="G29" s="13">
        <f>IFERROR(INDEX(Lines!$J$5:$J$204,MATCH($B$4&amp;"|"&amp;$A29,Lines!$R$5:$R$204,0)),"")</f>
        <v/>
      </c>
      <c r="H29" s="13">
        <f>IFERROR(INDEX(Lines!$L$5:$L$204,MATCH($B$4&amp;"|"&amp;$A29,Lines!$R$5:$R$204,0)),"")</f>
        <v/>
      </c>
    </row>
    <row r="30">
      <c r="A30" s="13" t="n">
        <v>12</v>
      </c>
      <c r="B30" s="14">
        <f>IFERROR(INDEX(Lines!$C$5:$C$204,MATCH($B$4&amp;"|"&amp;$A30,Lines!$R$5:$R$204,0))&amp;"","")</f>
        <v/>
      </c>
      <c r="C30" s="14">
        <f>IFERROR(INDEX(Lines!$G$5:$G$204,MATCH($B$4&amp;"|"&amp;$A30,Lines!$R$5:$R$204,0))&amp;"","")</f>
        <v/>
      </c>
      <c r="D30" s="13">
        <f>IFERROR(INDEX(Lines!$D$5:$D$204,MATCH($B$4&amp;"|"&amp;$A30,Lines!$R$5:$R$204,0)),"")</f>
        <v/>
      </c>
      <c r="E30" s="10">
        <f>IFERROR(INDEX(Lines!$E$5:$E$204,MATCH($B$4&amp;"|"&amp;$A30,Lines!$R$5:$R$204,0)),"")</f>
        <v/>
      </c>
      <c r="F30" s="10">
        <f>IFERROR(INDEX(Lines!$F$5:$F$204,MATCH($B$4&amp;"|"&amp;$A30,Lines!$R$5:$R$204,0)),"")</f>
        <v/>
      </c>
      <c r="G30" s="13">
        <f>IFERROR(INDEX(Lines!$J$5:$J$204,MATCH($B$4&amp;"|"&amp;$A30,Lines!$R$5:$R$204,0)),"")</f>
        <v/>
      </c>
      <c r="H30" s="13">
        <f>IFERROR(INDEX(Lines!$L$5:$L$204,MATCH($B$4&amp;"|"&amp;$A30,Lines!$R$5:$R$204,0)),"")</f>
        <v/>
      </c>
    </row>
    <row r="31">
      <c r="A31" s="13" t="n">
        <v>13</v>
      </c>
      <c r="B31" s="14">
        <f>IFERROR(INDEX(Lines!$C$5:$C$204,MATCH($B$4&amp;"|"&amp;$A31,Lines!$R$5:$R$204,0))&amp;"","")</f>
        <v/>
      </c>
      <c r="C31" s="14">
        <f>IFERROR(INDEX(Lines!$G$5:$G$204,MATCH($B$4&amp;"|"&amp;$A31,Lines!$R$5:$R$204,0))&amp;"","")</f>
        <v/>
      </c>
      <c r="D31" s="13">
        <f>IFERROR(INDEX(Lines!$D$5:$D$204,MATCH($B$4&amp;"|"&amp;$A31,Lines!$R$5:$R$204,0)),"")</f>
        <v/>
      </c>
      <c r="E31" s="10">
        <f>IFERROR(INDEX(Lines!$E$5:$E$204,MATCH($B$4&amp;"|"&amp;$A31,Lines!$R$5:$R$204,0)),"")</f>
        <v/>
      </c>
      <c r="F31" s="10">
        <f>IFERROR(INDEX(Lines!$F$5:$F$204,MATCH($B$4&amp;"|"&amp;$A31,Lines!$R$5:$R$204,0)),"")</f>
        <v/>
      </c>
      <c r="G31" s="13">
        <f>IFERROR(INDEX(Lines!$J$5:$J$204,MATCH($B$4&amp;"|"&amp;$A31,Lines!$R$5:$R$204,0)),"")</f>
        <v/>
      </c>
      <c r="H31" s="13">
        <f>IFERROR(INDEX(Lines!$L$5:$L$204,MATCH($B$4&amp;"|"&amp;$A31,Lines!$R$5:$R$204,0)),"")</f>
        <v/>
      </c>
    </row>
    <row r="32">
      <c r="A32" s="13" t="n">
        <v>14</v>
      </c>
      <c r="B32" s="14">
        <f>IFERROR(INDEX(Lines!$C$5:$C$204,MATCH($B$4&amp;"|"&amp;$A32,Lines!$R$5:$R$204,0))&amp;"","")</f>
        <v/>
      </c>
      <c r="C32" s="14">
        <f>IFERROR(INDEX(Lines!$G$5:$G$204,MATCH($B$4&amp;"|"&amp;$A32,Lines!$R$5:$R$204,0))&amp;"","")</f>
        <v/>
      </c>
      <c r="D32" s="13">
        <f>IFERROR(INDEX(Lines!$D$5:$D$204,MATCH($B$4&amp;"|"&amp;$A32,Lines!$R$5:$R$204,0)),"")</f>
        <v/>
      </c>
      <c r="E32" s="10">
        <f>IFERROR(INDEX(Lines!$E$5:$E$204,MATCH($B$4&amp;"|"&amp;$A32,Lines!$R$5:$R$204,0)),"")</f>
        <v/>
      </c>
      <c r="F32" s="10">
        <f>IFERROR(INDEX(Lines!$F$5:$F$204,MATCH($B$4&amp;"|"&amp;$A32,Lines!$R$5:$R$204,0)),"")</f>
        <v/>
      </c>
      <c r="G32" s="13">
        <f>IFERROR(INDEX(Lines!$J$5:$J$204,MATCH($B$4&amp;"|"&amp;$A32,Lines!$R$5:$R$204,0)),"")</f>
        <v/>
      </c>
      <c r="H32" s="13">
        <f>IFERROR(INDEX(Lines!$L$5:$L$204,MATCH($B$4&amp;"|"&amp;$A32,Lines!$R$5:$R$204,0)),"")</f>
        <v/>
      </c>
    </row>
    <row r="33">
      <c r="A33" s="13" t="n">
        <v>15</v>
      </c>
      <c r="B33" s="14">
        <f>IFERROR(INDEX(Lines!$C$5:$C$204,MATCH($B$4&amp;"|"&amp;$A33,Lines!$R$5:$R$204,0))&amp;"","")</f>
        <v/>
      </c>
      <c r="C33" s="14">
        <f>IFERROR(INDEX(Lines!$G$5:$G$204,MATCH($B$4&amp;"|"&amp;$A33,Lines!$R$5:$R$204,0))&amp;"","")</f>
        <v/>
      </c>
      <c r="D33" s="13">
        <f>IFERROR(INDEX(Lines!$D$5:$D$204,MATCH($B$4&amp;"|"&amp;$A33,Lines!$R$5:$R$204,0)),"")</f>
        <v/>
      </c>
      <c r="E33" s="10">
        <f>IFERROR(INDEX(Lines!$E$5:$E$204,MATCH($B$4&amp;"|"&amp;$A33,Lines!$R$5:$R$204,0)),"")</f>
        <v/>
      </c>
      <c r="F33" s="10">
        <f>IFERROR(INDEX(Lines!$F$5:$F$204,MATCH($B$4&amp;"|"&amp;$A33,Lines!$R$5:$R$204,0)),"")</f>
        <v/>
      </c>
      <c r="G33" s="13">
        <f>IFERROR(INDEX(Lines!$J$5:$J$204,MATCH($B$4&amp;"|"&amp;$A33,Lines!$R$5:$R$204,0)),"")</f>
        <v/>
      </c>
      <c r="H33" s="13">
        <f>IFERROR(INDEX(Lines!$L$5:$L$204,MATCH($B$4&amp;"|"&amp;$A33,Lines!$R$5:$R$204,0)),"")</f>
        <v/>
      </c>
    </row>
    <row r="34">
      <c r="A34" s="13" t="n">
        <v>16</v>
      </c>
      <c r="B34" s="14">
        <f>IFERROR(INDEX(Lines!$C$5:$C$204,MATCH($B$4&amp;"|"&amp;$A34,Lines!$R$5:$R$204,0))&amp;"","")</f>
        <v/>
      </c>
      <c r="C34" s="14">
        <f>IFERROR(INDEX(Lines!$G$5:$G$204,MATCH($B$4&amp;"|"&amp;$A34,Lines!$R$5:$R$204,0))&amp;"","")</f>
        <v/>
      </c>
      <c r="D34" s="13">
        <f>IFERROR(INDEX(Lines!$D$5:$D$204,MATCH($B$4&amp;"|"&amp;$A34,Lines!$R$5:$R$204,0)),"")</f>
        <v/>
      </c>
      <c r="E34" s="10">
        <f>IFERROR(INDEX(Lines!$E$5:$E$204,MATCH($B$4&amp;"|"&amp;$A34,Lines!$R$5:$R$204,0)),"")</f>
        <v/>
      </c>
      <c r="F34" s="10">
        <f>IFERROR(INDEX(Lines!$F$5:$F$204,MATCH($B$4&amp;"|"&amp;$A34,Lines!$R$5:$R$204,0)),"")</f>
        <v/>
      </c>
      <c r="G34" s="13">
        <f>IFERROR(INDEX(Lines!$J$5:$J$204,MATCH($B$4&amp;"|"&amp;$A34,Lines!$R$5:$R$204,0)),"")</f>
        <v/>
      </c>
      <c r="H34" s="13">
        <f>IFERROR(INDEX(Lines!$L$5:$L$204,MATCH($B$4&amp;"|"&amp;$A34,Lines!$R$5:$R$204,0)),"")</f>
        <v/>
      </c>
    </row>
    <row r="35">
      <c r="A35" s="13" t="n">
        <v>17</v>
      </c>
      <c r="B35" s="14">
        <f>IFERROR(INDEX(Lines!$C$5:$C$204,MATCH($B$4&amp;"|"&amp;$A35,Lines!$R$5:$R$204,0))&amp;"","")</f>
        <v/>
      </c>
      <c r="C35" s="14">
        <f>IFERROR(INDEX(Lines!$G$5:$G$204,MATCH($B$4&amp;"|"&amp;$A35,Lines!$R$5:$R$204,0))&amp;"","")</f>
        <v/>
      </c>
      <c r="D35" s="13">
        <f>IFERROR(INDEX(Lines!$D$5:$D$204,MATCH($B$4&amp;"|"&amp;$A35,Lines!$R$5:$R$204,0)),"")</f>
        <v/>
      </c>
      <c r="E35" s="10">
        <f>IFERROR(INDEX(Lines!$E$5:$E$204,MATCH($B$4&amp;"|"&amp;$A35,Lines!$R$5:$R$204,0)),"")</f>
        <v/>
      </c>
      <c r="F35" s="10">
        <f>IFERROR(INDEX(Lines!$F$5:$F$204,MATCH($B$4&amp;"|"&amp;$A35,Lines!$R$5:$R$204,0)),"")</f>
        <v/>
      </c>
      <c r="G35" s="13">
        <f>IFERROR(INDEX(Lines!$J$5:$J$204,MATCH($B$4&amp;"|"&amp;$A35,Lines!$R$5:$R$204,0)),"")</f>
        <v/>
      </c>
      <c r="H35" s="13">
        <f>IFERROR(INDEX(Lines!$L$5:$L$204,MATCH($B$4&amp;"|"&amp;$A35,Lines!$R$5:$R$204,0)),"")</f>
        <v/>
      </c>
    </row>
    <row r="36">
      <c r="A36" s="13" t="n">
        <v>18</v>
      </c>
      <c r="B36" s="14">
        <f>IFERROR(INDEX(Lines!$C$5:$C$204,MATCH($B$4&amp;"|"&amp;$A36,Lines!$R$5:$R$204,0))&amp;"","")</f>
        <v/>
      </c>
      <c r="C36" s="14">
        <f>IFERROR(INDEX(Lines!$G$5:$G$204,MATCH($B$4&amp;"|"&amp;$A36,Lines!$R$5:$R$204,0))&amp;"","")</f>
        <v/>
      </c>
      <c r="D36" s="13">
        <f>IFERROR(INDEX(Lines!$D$5:$D$204,MATCH($B$4&amp;"|"&amp;$A36,Lines!$R$5:$R$204,0)),"")</f>
        <v/>
      </c>
      <c r="E36" s="10">
        <f>IFERROR(INDEX(Lines!$E$5:$E$204,MATCH($B$4&amp;"|"&amp;$A36,Lines!$R$5:$R$204,0)),"")</f>
        <v/>
      </c>
      <c r="F36" s="10">
        <f>IFERROR(INDEX(Lines!$F$5:$F$204,MATCH($B$4&amp;"|"&amp;$A36,Lines!$R$5:$R$204,0)),"")</f>
        <v/>
      </c>
      <c r="G36" s="13">
        <f>IFERROR(INDEX(Lines!$J$5:$J$204,MATCH($B$4&amp;"|"&amp;$A36,Lines!$R$5:$R$204,0)),"")</f>
        <v/>
      </c>
      <c r="H36" s="13">
        <f>IFERROR(INDEX(Lines!$L$5:$L$204,MATCH($B$4&amp;"|"&amp;$A36,Lines!$R$5:$R$204,0)),"")</f>
        <v/>
      </c>
    </row>
    <row r="37">
      <c r="A37" s="13" t="n">
        <v>19</v>
      </c>
      <c r="B37" s="14">
        <f>IFERROR(INDEX(Lines!$C$5:$C$204,MATCH($B$4&amp;"|"&amp;$A37,Lines!$R$5:$R$204,0))&amp;"","")</f>
        <v/>
      </c>
      <c r="C37" s="14">
        <f>IFERROR(INDEX(Lines!$G$5:$G$204,MATCH($B$4&amp;"|"&amp;$A37,Lines!$R$5:$R$204,0))&amp;"","")</f>
        <v/>
      </c>
      <c r="D37" s="13">
        <f>IFERROR(INDEX(Lines!$D$5:$D$204,MATCH($B$4&amp;"|"&amp;$A37,Lines!$R$5:$R$204,0)),"")</f>
        <v/>
      </c>
      <c r="E37" s="10">
        <f>IFERROR(INDEX(Lines!$E$5:$E$204,MATCH($B$4&amp;"|"&amp;$A37,Lines!$R$5:$R$204,0)),"")</f>
        <v/>
      </c>
      <c r="F37" s="10">
        <f>IFERROR(INDEX(Lines!$F$5:$F$204,MATCH($B$4&amp;"|"&amp;$A37,Lines!$R$5:$R$204,0)),"")</f>
        <v/>
      </c>
      <c r="G37" s="13">
        <f>IFERROR(INDEX(Lines!$J$5:$J$204,MATCH($B$4&amp;"|"&amp;$A37,Lines!$R$5:$R$204,0)),"")</f>
        <v/>
      </c>
      <c r="H37" s="13">
        <f>IFERROR(INDEX(Lines!$L$5:$L$204,MATCH($B$4&amp;"|"&amp;$A37,Lines!$R$5:$R$204,0)),"")</f>
        <v/>
      </c>
    </row>
    <row r="38">
      <c r="A38" s="13" t="n">
        <v>20</v>
      </c>
      <c r="B38" s="14">
        <f>IFERROR(INDEX(Lines!$C$5:$C$204,MATCH($B$4&amp;"|"&amp;$A38,Lines!$R$5:$R$204,0))&amp;"","")</f>
        <v/>
      </c>
      <c r="C38" s="14">
        <f>IFERROR(INDEX(Lines!$G$5:$G$204,MATCH($B$4&amp;"|"&amp;$A38,Lines!$R$5:$R$204,0))&amp;"","")</f>
        <v/>
      </c>
      <c r="D38" s="13">
        <f>IFERROR(INDEX(Lines!$D$5:$D$204,MATCH($B$4&amp;"|"&amp;$A38,Lines!$R$5:$R$204,0)),"")</f>
        <v/>
      </c>
      <c r="E38" s="10">
        <f>IFERROR(INDEX(Lines!$E$5:$E$204,MATCH($B$4&amp;"|"&amp;$A38,Lines!$R$5:$R$204,0)),"")</f>
        <v/>
      </c>
      <c r="F38" s="10">
        <f>IFERROR(INDEX(Lines!$F$5:$F$204,MATCH($B$4&amp;"|"&amp;$A38,Lines!$R$5:$R$204,0)),"")</f>
        <v/>
      </c>
      <c r="G38" s="13">
        <f>IFERROR(INDEX(Lines!$J$5:$J$204,MATCH($B$4&amp;"|"&amp;$A38,Lines!$R$5:$R$204,0)),"")</f>
        <v/>
      </c>
      <c r="H38" s="13">
        <f>IFERROR(INDEX(Lines!$L$5:$L$204,MATCH($B$4&amp;"|"&amp;$A38,Lines!$R$5:$R$204,0)),"")</f>
        <v/>
      </c>
    </row>
    <row r="40">
      <c r="E40" s="3" t="inlineStr">
        <is>
          <t>Subtotal</t>
        </is>
      </c>
      <c r="F40" s="18">
        <f>SUMIFS(Lines!$F$5:$F$204,Lines!$A$5:$A$204,$B$4)</f>
        <v/>
      </c>
    </row>
    <row r="41">
      <c r="D41" s="20" t="n">
        <v>0.2</v>
      </c>
      <c r="E41" s="3" t="inlineStr">
        <is>
          <t>Tax rate</t>
        </is>
      </c>
      <c r="F41" s="10">
        <f>ROUND($F$40*$D$41,2)</f>
        <v/>
      </c>
    </row>
    <row r="42">
      <c r="E42" s="3" t="inlineStr">
        <is>
          <t>Freight / handling</t>
        </is>
      </c>
      <c r="F42" s="9" t="n">
        <v>0</v>
      </c>
    </row>
    <row r="43">
      <c r="E43" s="3" t="inlineStr">
        <is>
          <t>Order total</t>
        </is>
      </c>
      <c r="F43" s="18">
        <f>$F$40+$F$41+$F$42</f>
        <v/>
      </c>
    </row>
    <row r="44">
      <c r="E44" s="19" t="inlineStr">
        <is>
          <t>Received to date (goods)</t>
        </is>
      </c>
      <c r="F44" s="10">
        <f>$F$40-SUMIFS(Lines!$M$5:$M$204,Lines!$A$5:$A$204,$B$4)</f>
        <v/>
      </c>
    </row>
    <row r="45">
      <c r="E45" s="19" t="inlineStr">
        <is>
          <t>Still outstanding (goods)</t>
        </is>
      </c>
      <c r="F45" s="18">
        <f>SUMIFS(Lines!$M$5:$M$204,Lines!$A$5:$A$204,$B$4)</f>
        <v/>
      </c>
    </row>
    <row r="47">
      <c r="A47" s="3" t="inlineStr">
        <is>
          <t>Terms and notes</t>
        </is>
      </c>
      <c r="B47" s="7" t="inlineStr">
        <is>
          <t>Deliver in full. Quote the PO number on the delivery note and the invoice. Prices firm for the duration of this order.</t>
        </is>
      </c>
    </row>
    <row r="49">
      <c r="A49" s="19" t="inlineStr">
        <is>
          <t>Raised by</t>
        </is>
      </c>
      <c r="B49" s="7" t="n"/>
      <c r="D49" s="19" t="inlineStr">
        <is>
          <t>Date</t>
        </is>
      </c>
      <c r="E49" s="11" t="n"/>
    </row>
    <row r="50">
      <c r="A50" s="19" t="inlineStr">
        <is>
          <t>Approved by</t>
        </is>
      </c>
      <c r="B50" s="7" t="n"/>
      <c r="D50" s="19" t="inlineStr">
        <is>
          <t>Date</t>
        </is>
      </c>
      <c r="E50" s="11" t="n"/>
    </row>
    <row r="52">
      <c r="A52" s="2" t="inlineStr">
        <is>
          <t>An approval box is a control, not an enforcement — a spreadsheet cannot stop someone typing their own name. If the amount matters, approve it outside the file and record it here.</t>
        </is>
      </c>
    </row>
  </sheetData>
  <pageMargins left="0.75" right="0.75" top="1" bottom="1" header="0.5" footer="0.5"/>
  <pageSetup orientation="portrait" fitToHeight="0" fitToWidth="1"/>
</worksheet>
</file>

<file path=xl/worksheets/sheet5.xml><?xml version="1.0" encoding="utf-8"?>
<worksheet xmlns="http://schemas.openxmlformats.org/spreadsheetml/2006/main">
  <sheetPr>
    <outlinePr summaryBelow="1" summaryRight="1"/>
    <pageSetUpPr/>
  </sheetPr>
  <dimension ref="A1:I90"/>
  <sheetViews>
    <sheetView workbookViewId="0">
      <pane ySplit="3" topLeftCell="A4" activePane="bottomLeft" state="frozen"/>
      <selection pane="bottomLeft" activeCell="A1" sqref="A1"/>
    </sheetView>
  </sheetViews>
  <sheetFormatPr baseColWidth="8" defaultRowHeight="15"/>
  <cols>
    <col width="42" customWidth="1" min="1" max="1"/>
    <col width="13" customWidth="1" min="2" max="2"/>
    <col width="15" customWidth="1" min="3" max="3"/>
    <col width="13" customWidth="1" min="4" max="4"/>
    <col width="15" customWidth="1" min="5" max="5"/>
    <col width="15" customWidth="1" min="6" max="6"/>
    <col width="13" customWidth="1" min="7" max="7"/>
    <col width="13" customWidth="1" min="8" max="8"/>
    <col width="13" customWidth="1" min="9" max="9"/>
  </cols>
  <sheetData>
    <row r="1">
      <c r="A1" s="1" t="inlineStr">
        <is>
          <t>Open orders</t>
        </is>
      </c>
    </row>
    <row r="2">
      <c r="A2" s="2" t="inlineStr">
        <is>
          <t>Everything here is derived from Lines. Nothing on this tab is typed. 'Late' means goods are still owed and the expected date has passed.</t>
        </is>
      </c>
    </row>
    <row r="4">
      <c r="A4" s="19" t="inlineStr">
        <is>
          <t>As at</t>
        </is>
      </c>
      <c r="B4" s="21">
        <f>TODAY()</f>
        <v/>
      </c>
    </row>
    <row r="6">
      <c r="A6" s="6" t="inlineStr">
        <is>
          <t>What is on order</t>
        </is>
      </c>
      <c r="B6" s="6" t="inlineStr">
        <is>
          <t>Value</t>
        </is>
      </c>
    </row>
    <row r="7">
      <c r="A7" s="19" t="inlineStr">
        <is>
          <t>Lines with something still to come</t>
        </is>
      </c>
      <c r="B7" s="17">
        <f>COUNTIFS(Lines!$L$5:$L$204,"&gt;0")</f>
        <v/>
      </c>
    </row>
    <row r="8">
      <c r="A8" s="19" t="inlineStr">
        <is>
          <t>Purchase orders still open</t>
        </is>
      </c>
      <c r="B8" s="17">
        <f>SUM(Lines!$T$5:$T$204)</f>
        <v/>
      </c>
    </row>
    <row r="9">
      <c r="A9" s="19" t="inlineStr">
        <is>
          <t>Purchase orders raised in total</t>
        </is>
      </c>
      <c r="B9" s="17">
        <f>COUNT(Lines!$S$5:$S$204)</f>
        <v/>
      </c>
    </row>
    <row r="10">
      <c r="A10" s="19" t="inlineStr">
        <is>
          <t>Value ordered</t>
        </is>
      </c>
      <c r="B10" s="18">
        <f>SUM(Lines!$F$5:$F$204)</f>
        <v/>
      </c>
    </row>
    <row r="11">
      <c r="A11" s="19" t="inlineStr">
        <is>
          <t>Value received</t>
        </is>
      </c>
      <c r="B11" s="18">
        <f>SUM(Lines!$F$5:$F$204)-SUM(Lines!$M$5:$M$204)</f>
        <v/>
      </c>
    </row>
    <row r="12">
      <c r="A12" s="19" t="inlineStr">
        <is>
          <t>Value outstanding</t>
        </is>
      </c>
      <c r="B12" s="18">
        <f>SUM(Lines!$M$5:$M$204)</f>
        <v/>
      </c>
    </row>
    <row r="13">
      <c r="A13" s="19" t="inlineStr">
        <is>
          <t>Lines past their expected date</t>
        </is>
      </c>
      <c r="B13" s="17">
        <f>COUNTIFS(Lines!$O$5:$O$204,"&gt;0")</f>
        <v/>
      </c>
    </row>
    <row r="14">
      <c r="A14" s="19" t="inlineStr">
        <is>
          <t>Value past its expected date</t>
        </is>
      </c>
      <c r="B14" s="18">
        <f>SUMIFS(Lines!$M$5:$M$204,Lines!$O$5:$O$204,"&gt;0")</f>
        <v/>
      </c>
    </row>
    <row r="15">
      <c r="A15" s="19" t="inlineStr">
        <is>
          <t>Worst line, days late</t>
        </is>
      </c>
      <c r="B15" s="17">
        <f>IFERROR(MAX(Lines!$O$5:$O$204),0)</f>
        <v/>
      </c>
    </row>
    <row r="16">
      <c r="A16" s="19" t="inlineStr">
        <is>
          <t>Average days late, where late</t>
        </is>
      </c>
      <c r="B16" s="22">
        <f>IFERROR(AVERAGEIFS(Lines!$O$5:$O$204,Lines!$O$5:$O$204,"&gt;0"),0)</f>
        <v/>
      </c>
    </row>
    <row r="18">
      <c r="A18" s="6" t="inlineStr">
        <is>
          <t>Ageing of the outstanding value</t>
        </is>
      </c>
      <c r="B18" s="6" t="inlineStr">
        <is>
          <t>Lines</t>
        </is>
      </c>
      <c r="C18" s="6" t="inlineStr">
        <is>
          <t>Value</t>
        </is>
      </c>
    </row>
    <row r="19">
      <c r="A19" s="19" t="inlineStr">
        <is>
          <t>Not yet due</t>
        </is>
      </c>
      <c r="B19" s="13">
        <f>COUNTIFS(Lines!$O$5:$O$204,0)</f>
        <v/>
      </c>
      <c r="C19" s="18">
        <f>SUMIFS(Lines!$M$5:$M$204,Lines!$O$5:$O$204,0)</f>
        <v/>
      </c>
    </row>
    <row r="20">
      <c r="A20" s="19" t="inlineStr">
        <is>
          <t>1-7 days late</t>
        </is>
      </c>
      <c r="B20" s="13">
        <f>COUNTIFS(Lines!$O$5:$O$204,"&gt;=1",Lines!$O$5:$O$204,"&lt;=7")</f>
        <v/>
      </c>
      <c r="C20" s="18">
        <f>SUMIFS(Lines!$M$5:$M$204,Lines!$O$5:$O$204,"&gt;=1",Lines!$O$5:$O$204,"&lt;=7")</f>
        <v/>
      </c>
    </row>
    <row r="21">
      <c r="A21" s="19" t="inlineStr">
        <is>
          <t>8-14 days late</t>
        </is>
      </c>
      <c r="B21" s="13">
        <f>COUNTIFS(Lines!$O$5:$O$204,"&gt;=8",Lines!$O$5:$O$204,"&lt;=14")</f>
        <v/>
      </c>
      <c r="C21" s="18">
        <f>SUMIFS(Lines!$M$5:$M$204,Lines!$O$5:$O$204,"&gt;=8",Lines!$O$5:$O$204,"&lt;=14")</f>
        <v/>
      </c>
    </row>
    <row r="22">
      <c r="A22" s="19" t="inlineStr">
        <is>
          <t>15-30 days late</t>
        </is>
      </c>
      <c r="B22" s="13">
        <f>COUNTIFS(Lines!$O$5:$O$204,"&gt;=15",Lines!$O$5:$O$204,"&lt;=30")</f>
        <v/>
      </c>
      <c r="C22" s="18">
        <f>SUMIFS(Lines!$M$5:$M$204,Lines!$O$5:$O$204,"&gt;=15",Lines!$O$5:$O$204,"&lt;=30")</f>
        <v/>
      </c>
    </row>
    <row r="23">
      <c r="A23" s="19" t="inlineStr">
        <is>
          <t>31 days late or more</t>
        </is>
      </c>
      <c r="B23" s="13">
        <f>COUNTIFS(Lines!$O$5:$O$204,"&gt;=31")</f>
        <v/>
      </c>
      <c r="C23" s="18">
        <f>SUMIFS(Lines!$M$5:$M$204,Lines!$O$5:$O$204,"&gt;=31")</f>
        <v/>
      </c>
    </row>
    <row r="24">
      <c r="A24" s="3" t="inlineStr">
        <is>
          <t>Total outstanding</t>
        </is>
      </c>
      <c r="B24" s="23">
        <f>SUM($B$19:$B$23)</f>
        <v/>
      </c>
      <c r="C24" s="24">
        <f>SUM($C$19:$C$23)</f>
        <v/>
      </c>
    </row>
    <row r="25">
      <c r="A25" s="2" t="inlineStr">
        <is>
          <t>A line only ages once goods are still owed. Fully received lines drop out of this table the moment the receipt is entered, which is the point of recording a received quantity rather than ticking the order off.</t>
        </is>
      </c>
    </row>
    <row r="28">
      <c r="A28" s="6" t="inlineStr">
        <is>
          <t>Supplier</t>
        </is>
      </c>
      <c r="B28" s="6" t="inlineStr">
        <is>
          <t>Lines ordered</t>
        </is>
      </c>
      <c r="C28" s="6" t="inlineStr">
        <is>
          <t>Value ordered</t>
        </is>
      </c>
      <c r="D28" s="6" t="inlineStr">
        <is>
          <t>Open lines</t>
        </is>
      </c>
      <c r="E28" s="6" t="inlineStr">
        <is>
          <t>Outstanding value</t>
        </is>
      </c>
      <c r="F28" s="6" t="inlineStr">
        <is>
          <t>Lines late</t>
        </is>
      </c>
      <c r="G28" s="6" t="inlineStr">
        <is>
          <t>Lines 15+ late</t>
        </is>
      </c>
      <c r="H28" s="6" t="inlineStr">
        <is>
          <t>Avg days late</t>
        </is>
      </c>
      <c r="I28" s="6" t="inlineStr">
        <is>
          <t>Lead days</t>
        </is>
      </c>
    </row>
    <row r="29">
      <c r="A29" s="14">
        <f>IF(Suppliers!$A5="","",Suppliers!$A5)</f>
        <v/>
      </c>
      <c r="B29" s="13">
        <f>IF($A29="","",Suppliers!$J5)</f>
        <v/>
      </c>
      <c r="C29" s="10">
        <f>IF($A29="","",Suppliers!$K5)</f>
        <v/>
      </c>
      <c r="D29" s="13">
        <f>IF($A29="","",Suppliers!$L5)</f>
        <v/>
      </c>
      <c r="E29" s="10">
        <f>IF($A29="","",Suppliers!$M5)</f>
        <v/>
      </c>
      <c r="F29" s="13">
        <f>IF($A29="","",Suppliers!$N5)</f>
        <v/>
      </c>
      <c r="G29" s="13">
        <f>IF($A29="","",Suppliers!$O5)</f>
        <v/>
      </c>
      <c r="H29" s="15">
        <f>IF($A29="","",Suppliers!$P5)</f>
        <v/>
      </c>
      <c r="I29" s="13">
        <f>IF($A29="","",Suppliers!$G5)</f>
        <v/>
      </c>
    </row>
    <row r="30">
      <c r="A30" s="14">
        <f>IF(Suppliers!$A6="","",Suppliers!$A6)</f>
        <v/>
      </c>
      <c r="B30" s="13">
        <f>IF($A30="","",Suppliers!$J6)</f>
        <v/>
      </c>
      <c r="C30" s="10">
        <f>IF($A30="","",Suppliers!$K6)</f>
        <v/>
      </c>
      <c r="D30" s="13">
        <f>IF($A30="","",Suppliers!$L6)</f>
        <v/>
      </c>
      <c r="E30" s="10">
        <f>IF($A30="","",Suppliers!$M6)</f>
        <v/>
      </c>
      <c r="F30" s="13">
        <f>IF($A30="","",Suppliers!$N6)</f>
        <v/>
      </c>
      <c r="G30" s="13">
        <f>IF($A30="","",Suppliers!$O6)</f>
        <v/>
      </c>
      <c r="H30" s="15">
        <f>IF($A30="","",Suppliers!$P6)</f>
        <v/>
      </c>
      <c r="I30" s="13">
        <f>IF($A30="","",Suppliers!$G6)</f>
        <v/>
      </c>
    </row>
    <row r="31">
      <c r="A31" s="14">
        <f>IF(Suppliers!$A7="","",Suppliers!$A7)</f>
        <v/>
      </c>
      <c r="B31" s="13">
        <f>IF($A31="","",Suppliers!$J7)</f>
        <v/>
      </c>
      <c r="C31" s="10">
        <f>IF($A31="","",Suppliers!$K7)</f>
        <v/>
      </c>
      <c r="D31" s="13">
        <f>IF($A31="","",Suppliers!$L7)</f>
        <v/>
      </c>
      <c r="E31" s="10">
        <f>IF($A31="","",Suppliers!$M7)</f>
        <v/>
      </c>
      <c r="F31" s="13">
        <f>IF($A31="","",Suppliers!$N7)</f>
        <v/>
      </c>
      <c r="G31" s="13">
        <f>IF($A31="","",Suppliers!$O7)</f>
        <v/>
      </c>
      <c r="H31" s="15">
        <f>IF($A31="","",Suppliers!$P7)</f>
        <v/>
      </c>
      <c r="I31" s="13">
        <f>IF($A31="","",Suppliers!$G7)</f>
        <v/>
      </c>
    </row>
    <row r="32">
      <c r="A32" s="14">
        <f>IF(Suppliers!$A8="","",Suppliers!$A8)</f>
        <v/>
      </c>
      <c r="B32" s="13">
        <f>IF($A32="","",Suppliers!$J8)</f>
        <v/>
      </c>
      <c r="C32" s="10">
        <f>IF($A32="","",Suppliers!$K8)</f>
        <v/>
      </c>
      <c r="D32" s="13">
        <f>IF($A32="","",Suppliers!$L8)</f>
        <v/>
      </c>
      <c r="E32" s="10">
        <f>IF($A32="","",Suppliers!$M8)</f>
        <v/>
      </c>
      <c r="F32" s="13">
        <f>IF($A32="","",Suppliers!$N8)</f>
        <v/>
      </c>
      <c r="G32" s="13">
        <f>IF($A32="","",Suppliers!$O8)</f>
        <v/>
      </c>
      <c r="H32" s="15">
        <f>IF($A32="","",Suppliers!$P8)</f>
        <v/>
      </c>
      <c r="I32" s="13">
        <f>IF($A32="","",Suppliers!$G8)</f>
        <v/>
      </c>
    </row>
    <row r="33">
      <c r="A33" s="14">
        <f>IF(Suppliers!$A9="","",Suppliers!$A9)</f>
        <v/>
      </c>
      <c r="B33" s="13">
        <f>IF($A33="","",Suppliers!$J9)</f>
        <v/>
      </c>
      <c r="C33" s="10">
        <f>IF($A33="","",Suppliers!$K9)</f>
        <v/>
      </c>
      <c r="D33" s="13">
        <f>IF($A33="","",Suppliers!$L9)</f>
        <v/>
      </c>
      <c r="E33" s="10">
        <f>IF($A33="","",Suppliers!$M9)</f>
        <v/>
      </c>
      <c r="F33" s="13">
        <f>IF($A33="","",Suppliers!$N9)</f>
        <v/>
      </c>
      <c r="G33" s="13">
        <f>IF($A33="","",Suppliers!$O9)</f>
        <v/>
      </c>
      <c r="H33" s="15">
        <f>IF($A33="","",Suppliers!$P9)</f>
        <v/>
      </c>
      <c r="I33" s="13">
        <f>IF($A33="","",Suppliers!$G9)</f>
        <v/>
      </c>
    </row>
    <row r="34">
      <c r="A34" s="14">
        <f>IF(Suppliers!$A10="","",Suppliers!$A10)</f>
        <v/>
      </c>
      <c r="B34" s="13">
        <f>IF($A34="","",Suppliers!$J10)</f>
        <v/>
      </c>
      <c r="C34" s="10">
        <f>IF($A34="","",Suppliers!$K10)</f>
        <v/>
      </c>
      <c r="D34" s="13">
        <f>IF($A34="","",Suppliers!$L10)</f>
        <v/>
      </c>
      <c r="E34" s="10">
        <f>IF($A34="","",Suppliers!$M10)</f>
        <v/>
      </c>
      <c r="F34" s="13">
        <f>IF($A34="","",Suppliers!$N10)</f>
        <v/>
      </c>
      <c r="G34" s="13">
        <f>IF($A34="","",Suppliers!$O10)</f>
        <v/>
      </c>
      <c r="H34" s="15">
        <f>IF($A34="","",Suppliers!$P10)</f>
        <v/>
      </c>
      <c r="I34" s="13">
        <f>IF($A34="","",Suppliers!$G10)</f>
        <v/>
      </c>
    </row>
    <row r="35">
      <c r="A35" s="14">
        <f>IF(Suppliers!$A11="","",Suppliers!$A11)</f>
        <v/>
      </c>
      <c r="B35" s="13">
        <f>IF($A35="","",Suppliers!$J11)</f>
        <v/>
      </c>
      <c r="C35" s="10">
        <f>IF($A35="","",Suppliers!$K11)</f>
        <v/>
      </c>
      <c r="D35" s="13">
        <f>IF($A35="","",Suppliers!$L11)</f>
        <v/>
      </c>
      <c r="E35" s="10">
        <f>IF($A35="","",Suppliers!$M11)</f>
        <v/>
      </c>
      <c r="F35" s="13">
        <f>IF($A35="","",Suppliers!$N11)</f>
        <v/>
      </c>
      <c r="G35" s="13">
        <f>IF($A35="","",Suppliers!$O11)</f>
        <v/>
      </c>
      <c r="H35" s="15">
        <f>IF($A35="","",Suppliers!$P11)</f>
        <v/>
      </c>
      <c r="I35" s="13">
        <f>IF($A35="","",Suppliers!$G11)</f>
        <v/>
      </c>
    </row>
    <row r="36">
      <c r="A36" s="14">
        <f>IF(Suppliers!$A12="","",Suppliers!$A12)</f>
        <v/>
      </c>
      <c r="B36" s="13">
        <f>IF($A36="","",Suppliers!$J12)</f>
        <v/>
      </c>
      <c r="C36" s="10">
        <f>IF($A36="","",Suppliers!$K12)</f>
        <v/>
      </c>
      <c r="D36" s="13">
        <f>IF($A36="","",Suppliers!$L12)</f>
        <v/>
      </c>
      <c r="E36" s="10">
        <f>IF($A36="","",Suppliers!$M12)</f>
        <v/>
      </c>
      <c r="F36" s="13">
        <f>IF($A36="","",Suppliers!$N12)</f>
        <v/>
      </c>
      <c r="G36" s="13">
        <f>IF($A36="","",Suppliers!$O12)</f>
        <v/>
      </c>
      <c r="H36" s="15">
        <f>IF($A36="","",Suppliers!$P12)</f>
        <v/>
      </c>
      <c r="I36" s="13">
        <f>IF($A36="","",Suppliers!$G12)</f>
        <v/>
      </c>
    </row>
    <row r="37">
      <c r="A37" s="14">
        <f>IF(Suppliers!$A13="","",Suppliers!$A13)</f>
        <v/>
      </c>
      <c r="B37" s="13">
        <f>IF($A37="","",Suppliers!$J13)</f>
        <v/>
      </c>
      <c r="C37" s="10">
        <f>IF($A37="","",Suppliers!$K13)</f>
        <v/>
      </c>
      <c r="D37" s="13">
        <f>IF($A37="","",Suppliers!$L13)</f>
        <v/>
      </c>
      <c r="E37" s="10">
        <f>IF($A37="","",Suppliers!$M13)</f>
        <v/>
      </c>
      <c r="F37" s="13">
        <f>IF($A37="","",Suppliers!$N13)</f>
        <v/>
      </c>
      <c r="G37" s="13">
        <f>IF($A37="","",Suppliers!$O13)</f>
        <v/>
      </c>
      <c r="H37" s="15">
        <f>IF($A37="","",Suppliers!$P13)</f>
        <v/>
      </c>
      <c r="I37" s="13">
        <f>IF($A37="","",Suppliers!$G13)</f>
        <v/>
      </c>
    </row>
    <row r="38">
      <c r="A38" s="14">
        <f>IF(Suppliers!$A14="","",Suppliers!$A14)</f>
        <v/>
      </c>
      <c r="B38" s="13">
        <f>IF($A38="","",Suppliers!$J14)</f>
        <v/>
      </c>
      <c r="C38" s="10">
        <f>IF($A38="","",Suppliers!$K14)</f>
        <v/>
      </c>
      <c r="D38" s="13">
        <f>IF($A38="","",Suppliers!$L14)</f>
        <v/>
      </c>
      <c r="E38" s="10">
        <f>IF($A38="","",Suppliers!$M14)</f>
        <v/>
      </c>
      <c r="F38" s="13">
        <f>IF($A38="","",Suppliers!$N14)</f>
        <v/>
      </c>
      <c r="G38" s="13">
        <f>IF($A38="","",Suppliers!$O14)</f>
        <v/>
      </c>
      <c r="H38" s="15">
        <f>IF($A38="","",Suppliers!$P14)</f>
        <v/>
      </c>
      <c r="I38" s="13">
        <f>IF($A38="","",Suppliers!$G14)</f>
        <v/>
      </c>
    </row>
    <row r="39">
      <c r="A39" s="14">
        <f>IF(Suppliers!$A15="","",Suppliers!$A15)</f>
        <v/>
      </c>
      <c r="B39" s="13">
        <f>IF($A39="","",Suppliers!$J15)</f>
        <v/>
      </c>
      <c r="C39" s="10">
        <f>IF($A39="","",Suppliers!$K15)</f>
        <v/>
      </c>
      <c r="D39" s="13">
        <f>IF($A39="","",Suppliers!$L15)</f>
        <v/>
      </c>
      <c r="E39" s="10">
        <f>IF($A39="","",Suppliers!$M15)</f>
        <v/>
      </c>
      <c r="F39" s="13">
        <f>IF($A39="","",Suppliers!$N15)</f>
        <v/>
      </c>
      <c r="G39" s="13">
        <f>IF($A39="","",Suppliers!$O15)</f>
        <v/>
      </c>
      <c r="H39" s="15">
        <f>IF($A39="","",Suppliers!$P15)</f>
        <v/>
      </c>
      <c r="I39" s="13">
        <f>IF($A39="","",Suppliers!$G15)</f>
        <v/>
      </c>
    </row>
    <row r="40">
      <c r="A40" s="14">
        <f>IF(Suppliers!$A16="","",Suppliers!$A16)</f>
        <v/>
      </c>
      <c r="B40" s="13">
        <f>IF($A40="","",Suppliers!$J16)</f>
        <v/>
      </c>
      <c r="C40" s="10">
        <f>IF($A40="","",Suppliers!$K16)</f>
        <v/>
      </c>
      <c r="D40" s="13">
        <f>IF($A40="","",Suppliers!$L16)</f>
        <v/>
      </c>
      <c r="E40" s="10">
        <f>IF($A40="","",Suppliers!$M16)</f>
        <v/>
      </c>
      <c r="F40" s="13">
        <f>IF($A40="","",Suppliers!$N16)</f>
        <v/>
      </c>
      <c r="G40" s="13">
        <f>IF($A40="","",Suppliers!$O16)</f>
        <v/>
      </c>
      <c r="H40" s="15">
        <f>IF($A40="","",Suppliers!$P16)</f>
        <v/>
      </c>
      <c r="I40" s="13">
        <f>IF($A40="","",Suppliers!$G16)</f>
        <v/>
      </c>
    </row>
    <row r="41">
      <c r="A41" s="14">
        <f>IF(Suppliers!$A17="","",Suppliers!$A17)</f>
        <v/>
      </c>
      <c r="B41" s="13">
        <f>IF($A41="","",Suppliers!$J17)</f>
        <v/>
      </c>
      <c r="C41" s="10">
        <f>IF($A41="","",Suppliers!$K17)</f>
        <v/>
      </c>
      <c r="D41" s="13">
        <f>IF($A41="","",Suppliers!$L17)</f>
        <v/>
      </c>
      <c r="E41" s="10">
        <f>IF($A41="","",Suppliers!$M17)</f>
        <v/>
      </c>
      <c r="F41" s="13">
        <f>IF($A41="","",Suppliers!$N17)</f>
        <v/>
      </c>
      <c r="G41" s="13">
        <f>IF($A41="","",Suppliers!$O17)</f>
        <v/>
      </c>
      <c r="H41" s="15">
        <f>IF($A41="","",Suppliers!$P17)</f>
        <v/>
      </c>
      <c r="I41" s="13">
        <f>IF($A41="","",Suppliers!$G17)</f>
        <v/>
      </c>
    </row>
    <row r="42">
      <c r="A42" s="14">
        <f>IF(Suppliers!$A18="","",Suppliers!$A18)</f>
        <v/>
      </c>
      <c r="B42" s="13">
        <f>IF($A42="","",Suppliers!$J18)</f>
        <v/>
      </c>
      <c r="C42" s="10">
        <f>IF($A42="","",Suppliers!$K18)</f>
        <v/>
      </c>
      <c r="D42" s="13">
        <f>IF($A42="","",Suppliers!$L18)</f>
        <v/>
      </c>
      <c r="E42" s="10">
        <f>IF($A42="","",Suppliers!$M18)</f>
        <v/>
      </c>
      <c r="F42" s="13">
        <f>IF($A42="","",Suppliers!$N18)</f>
        <v/>
      </c>
      <c r="G42" s="13">
        <f>IF($A42="","",Suppliers!$O18)</f>
        <v/>
      </c>
      <c r="H42" s="15">
        <f>IF($A42="","",Suppliers!$P18)</f>
        <v/>
      </c>
      <c r="I42" s="13">
        <f>IF($A42="","",Suppliers!$G18)</f>
        <v/>
      </c>
    </row>
    <row r="43">
      <c r="A43" s="14">
        <f>IF(Suppliers!$A19="","",Suppliers!$A19)</f>
        <v/>
      </c>
      <c r="B43" s="13">
        <f>IF($A43="","",Suppliers!$J19)</f>
        <v/>
      </c>
      <c r="C43" s="10">
        <f>IF($A43="","",Suppliers!$K19)</f>
        <v/>
      </c>
      <c r="D43" s="13">
        <f>IF($A43="","",Suppliers!$L19)</f>
        <v/>
      </c>
      <c r="E43" s="10">
        <f>IF($A43="","",Suppliers!$M19)</f>
        <v/>
      </c>
      <c r="F43" s="13">
        <f>IF($A43="","",Suppliers!$N19)</f>
        <v/>
      </c>
      <c r="G43" s="13">
        <f>IF($A43="","",Suppliers!$O19)</f>
        <v/>
      </c>
      <c r="H43" s="15">
        <f>IF($A43="","",Suppliers!$P19)</f>
        <v/>
      </c>
      <c r="I43" s="13">
        <f>IF($A43="","",Suppliers!$G19)</f>
        <v/>
      </c>
    </row>
    <row r="44">
      <c r="A44" s="14">
        <f>IF(Suppliers!$A20="","",Suppliers!$A20)</f>
        <v/>
      </c>
      <c r="B44" s="13">
        <f>IF($A44="","",Suppliers!$J20)</f>
        <v/>
      </c>
      <c r="C44" s="10">
        <f>IF($A44="","",Suppliers!$K20)</f>
        <v/>
      </c>
      <c r="D44" s="13">
        <f>IF($A44="","",Suppliers!$L20)</f>
        <v/>
      </c>
      <c r="E44" s="10">
        <f>IF($A44="","",Suppliers!$M20)</f>
        <v/>
      </c>
      <c r="F44" s="13">
        <f>IF($A44="","",Suppliers!$N20)</f>
        <v/>
      </c>
      <c r="G44" s="13">
        <f>IF($A44="","",Suppliers!$O20)</f>
        <v/>
      </c>
      <c r="H44" s="15">
        <f>IF($A44="","",Suppliers!$P20)</f>
        <v/>
      </c>
      <c r="I44" s="13">
        <f>IF($A44="","",Suppliers!$G20)</f>
        <v/>
      </c>
    </row>
    <row r="45">
      <c r="A45" s="14">
        <f>IF(Suppliers!$A21="","",Suppliers!$A21)</f>
        <v/>
      </c>
      <c r="B45" s="13">
        <f>IF($A45="","",Suppliers!$J21)</f>
        <v/>
      </c>
      <c r="C45" s="10">
        <f>IF($A45="","",Suppliers!$K21)</f>
        <v/>
      </c>
      <c r="D45" s="13">
        <f>IF($A45="","",Suppliers!$L21)</f>
        <v/>
      </c>
      <c r="E45" s="10">
        <f>IF($A45="","",Suppliers!$M21)</f>
        <v/>
      </c>
      <c r="F45" s="13">
        <f>IF($A45="","",Suppliers!$N21)</f>
        <v/>
      </c>
      <c r="G45" s="13">
        <f>IF($A45="","",Suppliers!$O21)</f>
        <v/>
      </c>
      <c r="H45" s="15">
        <f>IF($A45="","",Suppliers!$P21)</f>
        <v/>
      </c>
      <c r="I45" s="13">
        <f>IF($A45="","",Suppliers!$G21)</f>
        <v/>
      </c>
    </row>
    <row r="46">
      <c r="A46" s="14">
        <f>IF(Suppliers!$A22="","",Suppliers!$A22)</f>
        <v/>
      </c>
      <c r="B46" s="13">
        <f>IF($A46="","",Suppliers!$J22)</f>
        <v/>
      </c>
      <c r="C46" s="10">
        <f>IF($A46="","",Suppliers!$K22)</f>
        <v/>
      </c>
      <c r="D46" s="13">
        <f>IF($A46="","",Suppliers!$L22)</f>
        <v/>
      </c>
      <c r="E46" s="10">
        <f>IF($A46="","",Suppliers!$M22)</f>
        <v/>
      </c>
      <c r="F46" s="13">
        <f>IF($A46="","",Suppliers!$N22)</f>
        <v/>
      </c>
      <c r="G46" s="13">
        <f>IF($A46="","",Suppliers!$O22)</f>
        <v/>
      </c>
      <c r="H46" s="15">
        <f>IF($A46="","",Suppliers!$P22)</f>
        <v/>
      </c>
      <c r="I46" s="13">
        <f>IF($A46="","",Suppliers!$G22)</f>
        <v/>
      </c>
    </row>
    <row r="47">
      <c r="A47" s="14">
        <f>IF(Suppliers!$A23="","",Suppliers!$A23)</f>
        <v/>
      </c>
      <c r="B47" s="13">
        <f>IF($A47="","",Suppliers!$J23)</f>
        <v/>
      </c>
      <c r="C47" s="10">
        <f>IF($A47="","",Suppliers!$K23)</f>
        <v/>
      </c>
      <c r="D47" s="13">
        <f>IF($A47="","",Suppliers!$L23)</f>
        <v/>
      </c>
      <c r="E47" s="10">
        <f>IF($A47="","",Suppliers!$M23)</f>
        <v/>
      </c>
      <c r="F47" s="13">
        <f>IF($A47="","",Suppliers!$N23)</f>
        <v/>
      </c>
      <c r="G47" s="13">
        <f>IF($A47="","",Suppliers!$O23)</f>
        <v/>
      </c>
      <c r="H47" s="15">
        <f>IF($A47="","",Suppliers!$P23)</f>
        <v/>
      </c>
      <c r="I47" s="13">
        <f>IF($A47="","",Suppliers!$G23)</f>
        <v/>
      </c>
    </row>
    <row r="48">
      <c r="A48" s="14">
        <f>IF(Suppliers!$A24="","",Suppliers!$A24)</f>
        <v/>
      </c>
      <c r="B48" s="13">
        <f>IF($A48="","",Suppliers!$J24)</f>
        <v/>
      </c>
      <c r="C48" s="10">
        <f>IF($A48="","",Suppliers!$K24)</f>
        <v/>
      </c>
      <c r="D48" s="13">
        <f>IF($A48="","",Suppliers!$L24)</f>
        <v/>
      </c>
      <c r="E48" s="10">
        <f>IF($A48="","",Suppliers!$M24)</f>
        <v/>
      </c>
      <c r="F48" s="13">
        <f>IF($A48="","",Suppliers!$N24)</f>
        <v/>
      </c>
      <c r="G48" s="13">
        <f>IF($A48="","",Suppliers!$O24)</f>
        <v/>
      </c>
      <c r="H48" s="15">
        <f>IF($A48="","",Suppliers!$P24)</f>
        <v/>
      </c>
      <c r="I48" s="13">
        <f>IF($A48="","",Suppliers!$G24)</f>
        <v/>
      </c>
    </row>
    <row r="50">
      <c r="A50" s="6" t="inlineStr">
        <is>
          <t>PO</t>
        </is>
      </c>
      <c r="B50" s="6" t="inlineStr">
        <is>
          <t>Supplier</t>
        </is>
      </c>
      <c r="C50" s="6" t="inlineStr">
        <is>
          <t>Order date</t>
        </is>
      </c>
      <c r="D50" s="6" t="inlineStr">
        <is>
          <t>Expected</t>
        </is>
      </c>
      <c r="E50" s="6" t="inlineStr">
        <is>
          <t>Lines</t>
        </is>
      </c>
      <c r="F50" s="6" t="inlineStr">
        <is>
          <t>Order value</t>
        </is>
      </c>
      <c r="G50" s="6" t="inlineStr">
        <is>
          <t>Outstanding value</t>
        </is>
      </c>
      <c r="H50" s="6" t="inlineStr">
        <is>
          <t>Days late</t>
        </is>
      </c>
      <c r="I50" s="6" t="inlineStr">
        <is>
          <t>Status</t>
        </is>
      </c>
    </row>
    <row r="51">
      <c r="A51" s="14">
        <f>IFERROR(INDEX(Lines!$A$5:$A$204,MATCH(1,Lines!$S$5:$S$204,0)),"")</f>
        <v/>
      </c>
      <c r="B51" s="14">
        <f>IF($A51="","",IFERROR(INDEX(Lines!$B$5:$B$204,MATCH($A51,Lines!$A$5:$A$204,0))&amp;"",""))</f>
        <v/>
      </c>
      <c r="C51" s="12">
        <f>IF($A51="","",IFERROR(INDEX(Lines!$H$5:$H$204,MATCH($A51,Lines!$A$5:$A$204,0)),""))</f>
        <v/>
      </c>
      <c r="D51" s="12">
        <f>IF($A51="","",IFERROR(INDEX(Lines!$I$5:$I$204,MATCH($A51,Lines!$A$5:$A$204,0)),""))</f>
        <v/>
      </c>
      <c r="E51" s="13">
        <f>IF($A51="","",COUNTIFS(Lines!$A$5:$A$204,$A51))</f>
        <v/>
      </c>
      <c r="F51" s="10">
        <f>IF($A51="","",SUMIFS(Lines!$F$5:$F$204,Lines!$A$5:$A$204,$A51))</f>
        <v/>
      </c>
      <c r="G51" s="10">
        <f>IF($A51="","",SUMIFS(Lines!$M$5:$M$204,Lines!$A$5:$A$204,$A51))</f>
        <v/>
      </c>
      <c r="H51" s="13">
        <f>IF($A51="","",IF($G51&lt;=0,"",IF($D51="","",MAX(0,TODAY()-$D51))))</f>
        <v/>
      </c>
      <c r="I51" s="14">
        <f>IF($A51="","",IF($G51&lt;=0,"Complete",IF($H51&gt;0,"Overdue",IF($G51&lt;$F51,"Part received","Open"))))</f>
        <v/>
      </c>
    </row>
    <row r="52">
      <c r="A52" s="14">
        <f>IFERROR(INDEX(Lines!$A$5:$A$204,MATCH(2,Lines!$S$5:$S$204,0)),"")</f>
        <v/>
      </c>
      <c r="B52" s="14">
        <f>IF($A52="","",IFERROR(INDEX(Lines!$B$5:$B$204,MATCH($A52,Lines!$A$5:$A$204,0))&amp;"",""))</f>
        <v/>
      </c>
      <c r="C52" s="12">
        <f>IF($A52="","",IFERROR(INDEX(Lines!$H$5:$H$204,MATCH($A52,Lines!$A$5:$A$204,0)),""))</f>
        <v/>
      </c>
      <c r="D52" s="12">
        <f>IF($A52="","",IFERROR(INDEX(Lines!$I$5:$I$204,MATCH($A52,Lines!$A$5:$A$204,0)),""))</f>
        <v/>
      </c>
      <c r="E52" s="13">
        <f>IF($A52="","",COUNTIFS(Lines!$A$5:$A$204,$A52))</f>
        <v/>
      </c>
      <c r="F52" s="10">
        <f>IF($A52="","",SUMIFS(Lines!$F$5:$F$204,Lines!$A$5:$A$204,$A52))</f>
        <v/>
      </c>
      <c r="G52" s="10">
        <f>IF($A52="","",SUMIFS(Lines!$M$5:$M$204,Lines!$A$5:$A$204,$A52))</f>
        <v/>
      </c>
      <c r="H52" s="13">
        <f>IF($A52="","",IF($G52&lt;=0,"",IF($D52="","",MAX(0,TODAY()-$D52))))</f>
        <v/>
      </c>
      <c r="I52" s="14">
        <f>IF($A52="","",IF($G52&lt;=0,"Complete",IF($H52&gt;0,"Overdue",IF($G52&lt;$F52,"Part received","Open"))))</f>
        <v/>
      </c>
    </row>
    <row r="53">
      <c r="A53" s="14">
        <f>IFERROR(INDEX(Lines!$A$5:$A$204,MATCH(3,Lines!$S$5:$S$204,0)),"")</f>
        <v/>
      </c>
      <c r="B53" s="14">
        <f>IF($A53="","",IFERROR(INDEX(Lines!$B$5:$B$204,MATCH($A53,Lines!$A$5:$A$204,0))&amp;"",""))</f>
        <v/>
      </c>
      <c r="C53" s="12">
        <f>IF($A53="","",IFERROR(INDEX(Lines!$H$5:$H$204,MATCH($A53,Lines!$A$5:$A$204,0)),""))</f>
        <v/>
      </c>
      <c r="D53" s="12">
        <f>IF($A53="","",IFERROR(INDEX(Lines!$I$5:$I$204,MATCH($A53,Lines!$A$5:$A$204,0)),""))</f>
        <v/>
      </c>
      <c r="E53" s="13">
        <f>IF($A53="","",COUNTIFS(Lines!$A$5:$A$204,$A53))</f>
        <v/>
      </c>
      <c r="F53" s="10">
        <f>IF($A53="","",SUMIFS(Lines!$F$5:$F$204,Lines!$A$5:$A$204,$A53))</f>
        <v/>
      </c>
      <c r="G53" s="10">
        <f>IF($A53="","",SUMIFS(Lines!$M$5:$M$204,Lines!$A$5:$A$204,$A53))</f>
        <v/>
      </c>
      <c r="H53" s="13">
        <f>IF($A53="","",IF($G53&lt;=0,"",IF($D53="","",MAX(0,TODAY()-$D53))))</f>
        <v/>
      </c>
      <c r="I53" s="14">
        <f>IF($A53="","",IF($G53&lt;=0,"Complete",IF($H53&gt;0,"Overdue",IF($G53&lt;$F53,"Part received","Open"))))</f>
        <v/>
      </c>
    </row>
    <row r="54">
      <c r="A54" s="14">
        <f>IFERROR(INDEX(Lines!$A$5:$A$204,MATCH(4,Lines!$S$5:$S$204,0)),"")</f>
        <v/>
      </c>
      <c r="B54" s="14">
        <f>IF($A54="","",IFERROR(INDEX(Lines!$B$5:$B$204,MATCH($A54,Lines!$A$5:$A$204,0))&amp;"",""))</f>
        <v/>
      </c>
      <c r="C54" s="12">
        <f>IF($A54="","",IFERROR(INDEX(Lines!$H$5:$H$204,MATCH($A54,Lines!$A$5:$A$204,0)),""))</f>
        <v/>
      </c>
      <c r="D54" s="12">
        <f>IF($A54="","",IFERROR(INDEX(Lines!$I$5:$I$204,MATCH($A54,Lines!$A$5:$A$204,0)),""))</f>
        <v/>
      </c>
      <c r="E54" s="13">
        <f>IF($A54="","",COUNTIFS(Lines!$A$5:$A$204,$A54))</f>
        <v/>
      </c>
      <c r="F54" s="10">
        <f>IF($A54="","",SUMIFS(Lines!$F$5:$F$204,Lines!$A$5:$A$204,$A54))</f>
        <v/>
      </c>
      <c r="G54" s="10">
        <f>IF($A54="","",SUMIFS(Lines!$M$5:$M$204,Lines!$A$5:$A$204,$A54))</f>
        <v/>
      </c>
      <c r="H54" s="13">
        <f>IF($A54="","",IF($G54&lt;=0,"",IF($D54="","",MAX(0,TODAY()-$D54))))</f>
        <v/>
      </c>
      <c r="I54" s="14">
        <f>IF($A54="","",IF($G54&lt;=0,"Complete",IF($H54&gt;0,"Overdue",IF($G54&lt;$F54,"Part received","Open"))))</f>
        <v/>
      </c>
    </row>
    <row r="55">
      <c r="A55" s="14">
        <f>IFERROR(INDEX(Lines!$A$5:$A$204,MATCH(5,Lines!$S$5:$S$204,0)),"")</f>
        <v/>
      </c>
      <c r="B55" s="14">
        <f>IF($A55="","",IFERROR(INDEX(Lines!$B$5:$B$204,MATCH($A55,Lines!$A$5:$A$204,0))&amp;"",""))</f>
        <v/>
      </c>
      <c r="C55" s="12">
        <f>IF($A55="","",IFERROR(INDEX(Lines!$H$5:$H$204,MATCH($A55,Lines!$A$5:$A$204,0)),""))</f>
        <v/>
      </c>
      <c r="D55" s="12">
        <f>IF($A55="","",IFERROR(INDEX(Lines!$I$5:$I$204,MATCH($A55,Lines!$A$5:$A$204,0)),""))</f>
        <v/>
      </c>
      <c r="E55" s="13">
        <f>IF($A55="","",COUNTIFS(Lines!$A$5:$A$204,$A55))</f>
        <v/>
      </c>
      <c r="F55" s="10">
        <f>IF($A55="","",SUMIFS(Lines!$F$5:$F$204,Lines!$A$5:$A$204,$A55))</f>
        <v/>
      </c>
      <c r="G55" s="10">
        <f>IF($A55="","",SUMIFS(Lines!$M$5:$M$204,Lines!$A$5:$A$204,$A55))</f>
        <v/>
      </c>
      <c r="H55" s="13">
        <f>IF($A55="","",IF($G55&lt;=0,"",IF($D55="","",MAX(0,TODAY()-$D55))))</f>
        <v/>
      </c>
      <c r="I55" s="14">
        <f>IF($A55="","",IF($G55&lt;=0,"Complete",IF($H55&gt;0,"Overdue",IF($G55&lt;$F55,"Part received","Open"))))</f>
        <v/>
      </c>
    </row>
    <row r="56">
      <c r="A56" s="14">
        <f>IFERROR(INDEX(Lines!$A$5:$A$204,MATCH(6,Lines!$S$5:$S$204,0)),"")</f>
        <v/>
      </c>
      <c r="B56" s="14">
        <f>IF($A56="","",IFERROR(INDEX(Lines!$B$5:$B$204,MATCH($A56,Lines!$A$5:$A$204,0))&amp;"",""))</f>
        <v/>
      </c>
      <c r="C56" s="12">
        <f>IF($A56="","",IFERROR(INDEX(Lines!$H$5:$H$204,MATCH($A56,Lines!$A$5:$A$204,0)),""))</f>
        <v/>
      </c>
      <c r="D56" s="12">
        <f>IF($A56="","",IFERROR(INDEX(Lines!$I$5:$I$204,MATCH($A56,Lines!$A$5:$A$204,0)),""))</f>
        <v/>
      </c>
      <c r="E56" s="13">
        <f>IF($A56="","",COUNTIFS(Lines!$A$5:$A$204,$A56))</f>
        <v/>
      </c>
      <c r="F56" s="10">
        <f>IF($A56="","",SUMIFS(Lines!$F$5:$F$204,Lines!$A$5:$A$204,$A56))</f>
        <v/>
      </c>
      <c r="G56" s="10">
        <f>IF($A56="","",SUMIFS(Lines!$M$5:$M$204,Lines!$A$5:$A$204,$A56))</f>
        <v/>
      </c>
      <c r="H56" s="13">
        <f>IF($A56="","",IF($G56&lt;=0,"",IF($D56="","",MAX(0,TODAY()-$D56))))</f>
        <v/>
      </c>
      <c r="I56" s="14">
        <f>IF($A56="","",IF($G56&lt;=0,"Complete",IF($H56&gt;0,"Overdue",IF($G56&lt;$F56,"Part received","Open"))))</f>
        <v/>
      </c>
    </row>
    <row r="57">
      <c r="A57" s="14">
        <f>IFERROR(INDEX(Lines!$A$5:$A$204,MATCH(7,Lines!$S$5:$S$204,0)),"")</f>
        <v/>
      </c>
      <c r="B57" s="14">
        <f>IF($A57="","",IFERROR(INDEX(Lines!$B$5:$B$204,MATCH($A57,Lines!$A$5:$A$204,0))&amp;"",""))</f>
        <v/>
      </c>
      <c r="C57" s="12">
        <f>IF($A57="","",IFERROR(INDEX(Lines!$H$5:$H$204,MATCH($A57,Lines!$A$5:$A$204,0)),""))</f>
        <v/>
      </c>
      <c r="D57" s="12">
        <f>IF($A57="","",IFERROR(INDEX(Lines!$I$5:$I$204,MATCH($A57,Lines!$A$5:$A$204,0)),""))</f>
        <v/>
      </c>
      <c r="E57" s="13">
        <f>IF($A57="","",COUNTIFS(Lines!$A$5:$A$204,$A57))</f>
        <v/>
      </c>
      <c r="F57" s="10">
        <f>IF($A57="","",SUMIFS(Lines!$F$5:$F$204,Lines!$A$5:$A$204,$A57))</f>
        <v/>
      </c>
      <c r="G57" s="10">
        <f>IF($A57="","",SUMIFS(Lines!$M$5:$M$204,Lines!$A$5:$A$204,$A57))</f>
        <v/>
      </c>
      <c r="H57" s="13">
        <f>IF($A57="","",IF($G57&lt;=0,"",IF($D57="","",MAX(0,TODAY()-$D57))))</f>
        <v/>
      </c>
      <c r="I57" s="14">
        <f>IF($A57="","",IF($G57&lt;=0,"Complete",IF($H57&gt;0,"Overdue",IF($G57&lt;$F57,"Part received","Open"))))</f>
        <v/>
      </c>
    </row>
    <row r="58">
      <c r="A58" s="14">
        <f>IFERROR(INDEX(Lines!$A$5:$A$204,MATCH(8,Lines!$S$5:$S$204,0)),"")</f>
        <v/>
      </c>
      <c r="B58" s="14">
        <f>IF($A58="","",IFERROR(INDEX(Lines!$B$5:$B$204,MATCH($A58,Lines!$A$5:$A$204,0))&amp;"",""))</f>
        <v/>
      </c>
      <c r="C58" s="12">
        <f>IF($A58="","",IFERROR(INDEX(Lines!$H$5:$H$204,MATCH($A58,Lines!$A$5:$A$204,0)),""))</f>
        <v/>
      </c>
      <c r="D58" s="12">
        <f>IF($A58="","",IFERROR(INDEX(Lines!$I$5:$I$204,MATCH($A58,Lines!$A$5:$A$204,0)),""))</f>
        <v/>
      </c>
      <c r="E58" s="13">
        <f>IF($A58="","",COUNTIFS(Lines!$A$5:$A$204,$A58))</f>
        <v/>
      </c>
      <c r="F58" s="10">
        <f>IF($A58="","",SUMIFS(Lines!$F$5:$F$204,Lines!$A$5:$A$204,$A58))</f>
        <v/>
      </c>
      <c r="G58" s="10">
        <f>IF($A58="","",SUMIFS(Lines!$M$5:$M$204,Lines!$A$5:$A$204,$A58))</f>
        <v/>
      </c>
      <c r="H58" s="13">
        <f>IF($A58="","",IF($G58&lt;=0,"",IF($D58="","",MAX(0,TODAY()-$D58))))</f>
        <v/>
      </c>
      <c r="I58" s="14">
        <f>IF($A58="","",IF($G58&lt;=0,"Complete",IF($H58&gt;0,"Overdue",IF($G58&lt;$F58,"Part received","Open"))))</f>
        <v/>
      </c>
    </row>
    <row r="59">
      <c r="A59" s="14">
        <f>IFERROR(INDEX(Lines!$A$5:$A$204,MATCH(9,Lines!$S$5:$S$204,0)),"")</f>
        <v/>
      </c>
      <c r="B59" s="14">
        <f>IF($A59="","",IFERROR(INDEX(Lines!$B$5:$B$204,MATCH($A59,Lines!$A$5:$A$204,0))&amp;"",""))</f>
        <v/>
      </c>
      <c r="C59" s="12">
        <f>IF($A59="","",IFERROR(INDEX(Lines!$H$5:$H$204,MATCH($A59,Lines!$A$5:$A$204,0)),""))</f>
        <v/>
      </c>
      <c r="D59" s="12">
        <f>IF($A59="","",IFERROR(INDEX(Lines!$I$5:$I$204,MATCH($A59,Lines!$A$5:$A$204,0)),""))</f>
        <v/>
      </c>
      <c r="E59" s="13">
        <f>IF($A59="","",COUNTIFS(Lines!$A$5:$A$204,$A59))</f>
        <v/>
      </c>
      <c r="F59" s="10">
        <f>IF($A59="","",SUMIFS(Lines!$F$5:$F$204,Lines!$A$5:$A$204,$A59))</f>
        <v/>
      </c>
      <c r="G59" s="10">
        <f>IF($A59="","",SUMIFS(Lines!$M$5:$M$204,Lines!$A$5:$A$204,$A59))</f>
        <v/>
      </c>
      <c r="H59" s="13">
        <f>IF($A59="","",IF($G59&lt;=0,"",IF($D59="","",MAX(0,TODAY()-$D59))))</f>
        <v/>
      </c>
      <c r="I59" s="14">
        <f>IF($A59="","",IF($G59&lt;=0,"Complete",IF($H59&gt;0,"Overdue",IF($G59&lt;$F59,"Part received","Open"))))</f>
        <v/>
      </c>
    </row>
    <row r="60">
      <c r="A60" s="14">
        <f>IFERROR(INDEX(Lines!$A$5:$A$204,MATCH(10,Lines!$S$5:$S$204,0)),"")</f>
        <v/>
      </c>
      <c r="B60" s="14">
        <f>IF($A60="","",IFERROR(INDEX(Lines!$B$5:$B$204,MATCH($A60,Lines!$A$5:$A$204,0))&amp;"",""))</f>
        <v/>
      </c>
      <c r="C60" s="12">
        <f>IF($A60="","",IFERROR(INDEX(Lines!$H$5:$H$204,MATCH($A60,Lines!$A$5:$A$204,0)),""))</f>
        <v/>
      </c>
      <c r="D60" s="12">
        <f>IF($A60="","",IFERROR(INDEX(Lines!$I$5:$I$204,MATCH($A60,Lines!$A$5:$A$204,0)),""))</f>
        <v/>
      </c>
      <c r="E60" s="13">
        <f>IF($A60="","",COUNTIFS(Lines!$A$5:$A$204,$A60))</f>
        <v/>
      </c>
      <c r="F60" s="10">
        <f>IF($A60="","",SUMIFS(Lines!$F$5:$F$204,Lines!$A$5:$A$204,$A60))</f>
        <v/>
      </c>
      <c r="G60" s="10">
        <f>IF($A60="","",SUMIFS(Lines!$M$5:$M$204,Lines!$A$5:$A$204,$A60))</f>
        <v/>
      </c>
      <c r="H60" s="13">
        <f>IF($A60="","",IF($G60&lt;=0,"",IF($D60="","",MAX(0,TODAY()-$D60))))</f>
        <v/>
      </c>
      <c r="I60" s="14">
        <f>IF($A60="","",IF($G60&lt;=0,"Complete",IF($H60&gt;0,"Overdue",IF($G60&lt;$F60,"Part received","Open"))))</f>
        <v/>
      </c>
    </row>
    <row r="61">
      <c r="A61" s="14">
        <f>IFERROR(INDEX(Lines!$A$5:$A$204,MATCH(11,Lines!$S$5:$S$204,0)),"")</f>
        <v/>
      </c>
      <c r="B61" s="14">
        <f>IF($A61="","",IFERROR(INDEX(Lines!$B$5:$B$204,MATCH($A61,Lines!$A$5:$A$204,0))&amp;"",""))</f>
        <v/>
      </c>
      <c r="C61" s="12">
        <f>IF($A61="","",IFERROR(INDEX(Lines!$H$5:$H$204,MATCH($A61,Lines!$A$5:$A$204,0)),""))</f>
        <v/>
      </c>
      <c r="D61" s="12">
        <f>IF($A61="","",IFERROR(INDEX(Lines!$I$5:$I$204,MATCH($A61,Lines!$A$5:$A$204,0)),""))</f>
        <v/>
      </c>
      <c r="E61" s="13">
        <f>IF($A61="","",COUNTIFS(Lines!$A$5:$A$204,$A61))</f>
        <v/>
      </c>
      <c r="F61" s="10">
        <f>IF($A61="","",SUMIFS(Lines!$F$5:$F$204,Lines!$A$5:$A$204,$A61))</f>
        <v/>
      </c>
      <c r="G61" s="10">
        <f>IF($A61="","",SUMIFS(Lines!$M$5:$M$204,Lines!$A$5:$A$204,$A61))</f>
        <v/>
      </c>
      <c r="H61" s="13">
        <f>IF($A61="","",IF($G61&lt;=0,"",IF($D61="","",MAX(0,TODAY()-$D61))))</f>
        <v/>
      </c>
      <c r="I61" s="14">
        <f>IF($A61="","",IF($G61&lt;=0,"Complete",IF($H61&gt;0,"Overdue",IF($G61&lt;$F61,"Part received","Open"))))</f>
        <v/>
      </c>
    </row>
    <row r="62">
      <c r="A62" s="14">
        <f>IFERROR(INDEX(Lines!$A$5:$A$204,MATCH(12,Lines!$S$5:$S$204,0)),"")</f>
        <v/>
      </c>
      <c r="B62" s="14">
        <f>IF($A62="","",IFERROR(INDEX(Lines!$B$5:$B$204,MATCH($A62,Lines!$A$5:$A$204,0))&amp;"",""))</f>
        <v/>
      </c>
      <c r="C62" s="12">
        <f>IF($A62="","",IFERROR(INDEX(Lines!$H$5:$H$204,MATCH($A62,Lines!$A$5:$A$204,0)),""))</f>
        <v/>
      </c>
      <c r="D62" s="12">
        <f>IF($A62="","",IFERROR(INDEX(Lines!$I$5:$I$204,MATCH($A62,Lines!$A$5:$A$204,0)),""))</f>
        <v/>
      </c>
      <c r="E62" s="13">
        <f>IF($A62="","",COUNTIFS(Lines!$A$5:$A$204,$A62))</f>
        <v/>
      </c>
      <c r="F62" s="10">
        <f>IF($A62="","",SUMIFS(Lines!$F$5:$F$204,Lines!$A$5:$A$204,$A62))</f>
        <v/>
      </c>
      <c r="G62" s="10">
        <f>IF($A62="","",SUMIFS(Lines!$M$5:$M$204,Lines!$A$5:$A$204,$A62))</f>
        <v/>
      </c>
      <c r="H62" s="13">
        <f>IF($A62="","",IF($G62&lt;=0,"",IF($D62="","",MAX(0,TODAY()-$D62))))</f>
        <v/>
      </c>
      <c r="I62" s="14">
        <f>IF($A62="","",IF($G62&lt;=0,"Complete",IF($H62&gt;0,"Overdue",IF($G62&lt;$F62,"Part received","Open"))))</f>
        <v/>
      </c>
    </row>
    <row r="63">
      <c r="A63" s="14">
        <f>IFERROR(INDEX(Lines!$A$5:$A$204,MATCH(13,Lines!$S$5:$S$204,0)),"")</f>
        <v/>
      </c>
      <c r="B63" s="14">
        <f>IF($A63="","",IFERROR(INDEX(Lines!$B$5:$B$204,MATCH($A63,Lines!$A$5:$A$204,0))&amp;"",""))</f>
        <v/>
      </c>
      <c r="C63" s="12">
        <f>IF($A63="","",IFERROR(INDEX(Lines!$H$5:$H$204,MATCH($A63,Lines!$A$5:$A$204,0)),""))</f>
        <v/>
      </c>
      <c r="D63" s="12">
        <f>IF($A63="","",IFERROR(INDEX(Lines!$I$5:$I$204,MATCH($A63,Lines!$A$5:$A$204,0)),""))</f>
        <v/>
      </c>
      <c r="E63" s="13">
        <f>IF($A63="","",COUNTIFS(Lines!$A$5:$A$204,$A63))</f>
        <v/>
      </c>
      <c r="F63" s="10">
        <f>IF($A63="","",SUMIFS(Lines!$F$5:$F$204,Lines!$A$5:$A$204,$A63))</f>
        <v/>
      </c>
      <c r="G63" s="10">
        <f>IF($A63="","",SUMIFS(Lines!$M$5:$M$204,Lines!$A$5:$A$204,$A63))</f>
        <v/>
      </c>
      <c r="H63" s="13">
        <f>IF($A63="","",IF($G63&lt;=0,"",IF($D63="","",MAX(0,TODAY()-$D63))))</f>
        <v/>
      </c>
      <c r="I63" s="14">
        <f>IF($A63="","",IF($G63&lt;=0,"Complete",IF($H63&gt;0,"Overdue",IF($G63&lt;$F63,"Part received","Open"))))</f>
        <v/>
      </c>
    </row>
    <row r="64">
      <c r="A64" s="14">
        <f>IFERROR(INDEX(Lines!$A$5:$A$204,MATCH(14,Lines!$S$5:$S$204,0)),"")</f>
        <v/>
      </c>
      <c r="B64" s="14">
        <f>IF($A64="","",IFERROR(INDEX(Lines!$B$5:$B$204,MATCH($A64,Lines!$A$5:$A$204,0))&amp;"",""))</f>
        <v/>
      </c>
      <c r="C64" s="12">
        <f>IF($A64="","",IFERROR(INDEX(Lines!$H$5:$H$204,MATCH($A64,Lines!$A$5:$A$204,0)),""))</f>
        <v/>
      </c>
      <c r="D64" s="12">
        <f>IF($A64="","",IFERROR(INDEX(Lines!$I$5:$I$204,MATCH($A64,Lines!$A$5:$A$204,0)),""))</f>
        <v/>
      </c>
      <c r="E64" s="13">
        <f>IF($A64="","",COUNTIFS(Lines!$A$5:$A$204,$A64))</f>
        <v/>
      </c>
      <c r="F64" s="10">
        <f>IF($A64="","",SUMIFS(Lines!$F$5:$F$204,Lines!$A$5:$A$204,$A64))</f>
        <v/>
      </c>
      <c r="G64" s="10">
        <f>IF($A64="","",SUMIFS(Lines!$M$5:$M$204,Lines!$A$5:$A$204,$A64))</f>
        <v/>
      </c>
      <c r="H64" s="13">
        <f>IF($A64="","",IF($G64&lt;=0,"",IF($D64="","",MAX(0,TODAY()-$D64))))</f>
        <v/>
      </c>
      <c r="I64" s="14">
        <f>IF($A64="","",IF($G64&lt;=0,"Complete",IF($H64&gt;0,"Overdue",IF($G64&lt;$F64,"Part received","Open"))))</f>
        <v/>
      </c>
    </row>
    <row r="65">
      <c r="A65" s="14">
        <f>IFERROR(INDEX(Lines!$A$5:$A$204,MATCH(15,Lines!$S$5:$S$204,0)),"")</f>
        <v/>
      </c>
      <c r="B65" s="14">
        <f>IF($A65="","",IFERROR(INDEX(Lines!$B$5:$B$204,MATCH($A65,Lines!$A$5:$A$204,0))&amp;"",""))</f>
        <v/>
      </c>
      <c r="C65" s="12">
        <f>IF($A65="","",IFERROR(INDEX(Lines!$H$5:$H$204,MATCH($A65,Lines!$A$5:$A$204,0)),""))</f>
        <v/>
      </c>
      <c r="D65" s="12">
        <f>IF($A65="","",IFERROR(INDEX(Lines!$I$5:$I$204,MATCH($A65,Lines!$A$5:$A$204,0)),""))</f>
        <v/>
      </c>
      <c r="E65" s="13">
        <f>IF($A65="","",COUNTIFS(Lines!$A$5:$A$204,$A65))</f>
        <v/>
      </c>
      <c r="F65" s="10">
        <f>IF($A65="","",SUMIFS(Lines!$F$5:$F$204,Lines!$A$5:$A$204,$A65))</f>
        <v/>
      </c>
      <c r="G65" s="10">
        <f>IF($A65="","",SUMIFS(Lines!$M$5:$M$204,Lines!$A$5:$A$204,$A65))</f>
        <v/>
      </c>
      <c r="H65" s="13">
        <f>IF($A65="","",IF($G65&lt;=0,"",IF($D65="","",MAX(0,TODAY()-$D65))))</f>
        <v/>
      </c>
      <c r="I65" s="14">
        <f>IF($A65="","",IF($G65&lt;=0,"Complete",IF($H65&gt;0,"Overdue",IF($G65&lt;$F65,"Part received","Open"))))</f>
        <v/>
      </c>
    </row>
    <row r="66">
      <c r="A66" s="14">
        <f>IFERROR(INDEX(Lines!$A$5:$A$204,MATCH(16,Lines!$S$5:$S$204,0)),"")</f>
        <v/>
      </c>
      <c r="B66" s="14">
        <f>IF($A66="","",IFERROR(INDEX(Lines!$B$5:$B$204,MATCH($A66,Lines!$A$5:$A$204,0))&amp;"",""))</f>
        <v/>
      </c>
      <c r="C66" s="12">
        <f>IF($A66="","",IFERROR(INDEX(Lines!$H$5:$H$204,MATCH($A66,Lines!$A$5:$A$204,0)),""))</f>
        <v/>
      </c>
      <c r="D66" s="12">
        <f>IF($A66="","",IFERROR(INDEX(Lines!$I$5:$I$204,MATCH($A66,Lines!$A$5:$A$204,0)),""))</f>
        <v/>
      </c>
      <c r="E66" s="13">
        <f>IF($A66="","",COUNTIFS(Lines!$A$5:$A$204,$A66))</f>
        <v/>
      </c>
      <c r="F66" s="10">
        <f>IF($A66="","",SUMIFS(Lines!$F$5:$F$204,Lines!$A$5:$A$204,$A66))</f>
        <v/>
      </c>
      <c r="G66" s="10">
        <f>IF($A66="","",SUMIFS(Lines!$M$5:$M$204,Lines!$A$5:$A$204,$A66))</f>
        <v/>
      </c>
      <c r="H66" s="13">
        <f>IF($A66="","",IF($G66&lt;=0,"",IF($D66="","",MAX(0,TODAY()-$D66))))</f>
        <v/>
      </c>
      <c r="I66" s="14">
        <f>IF($A66="","",IF($G66&lt;=0,"Complete",IF($H66&gt;0,"Overdue",IF($G66&lt;$F66,"Part received","Open"))))</f>
        <v/>
      </c>
    </row>
    <row r="67">
      <c r="A67" s="14">
        <f>IFERROR(INDEX(Lines!$A$5:$A$204,MATCH(17,Lines!$S$5:$S$204,0)),"")</f>
        <v/>
      </c>
      <c r="B67" s="14">
        <f>IF($A67="","",IFERROR(INDEX(Lines!$B$5:$B$204,MATCH($A67,Lines!$A$5:$A$204,0))&amp;"",""))</f>
        <v/>
      </c>
      <c r="C67" s="12">
        <f>IF($A67="","",IFERROR(INDEX(Lines!$H$5:$H$204,MATCH($A67,Lines!$A$5:$A$204,0)),""))</f>
        <v/>
      </c>
      <c r="D67" s="12">
        <f>IF($A67="","",IFERROR(INDEX(Lines!$I$5:$I$204,MATCH($A67,Lines!$A$5:$A$204,0)),""))</f>
        <v/>
      </c>
      <c r="E67" s="13">
        <f>IF($A67="","",COUNTIFS(Lines!$A$5:$A$204,$A67))</f>
        <v/>
      </c>
      <c r="F67" s="10">
        <f>IF($A67="","",SUMIFS(Lines!$F$5:$F$204,Lines!$A$5:$A$204,$A67))</f>
        <v/>
      </c>
      <c r="G67" s="10">
        <f>IF($A67="","",SUMIFS(Lines!$M$5:$M$204,Lines!$A$5:$A$204,$A67))</f>
        <v/>
      </c>
      <c r="H67" s="13">
        <f>IF($A67="","",IF($G67&lt;=0,"",IF($D67="","",MAX(0,TODAY()-$D67))))</f>
        <v/>
      </c>
      <c r="I67" s="14">
        <f>IF($A67="","",IF($G67&lt;=0,"Complete",IF($H67&gt;0,"Overdue",IF($G67&lt;$F67,"Part received","Open"))))</f>
        <v/>
      </c>
    </row>
    <row r="68">
      <c r="A68" s="14">
        <f>IFERROR(INDEX(Lines!$A$5:$A$204,MATCH(18,Lines!$S$5:$S$204,0)),"")</f>
        <v/>
      </c>
      <c r="B68" s="14">
        <f>IF($A68="","",IFERROR(INDEX(Lines!$B$5:$B$204,MATCH($A68,Lines!$A$5:$A$204,0))&amp;"",""))</f>
        <v/>
      </c>
      <c r="C68" s="12">
        <f>IF($A68="","",IFERROR(INDEX(Lines!$H$5:$H$204,MATCH($A68,Lines!$A$5:$A$204,0)),""))</f>
        <v/>
      </c>
      <c r="D68" s="12">
        <f>IF($A68="","",IFERROR(INDEX(Lines!$I$5:$I$204,MATCH($A68,Lines!$A$5:$A$204,0)),""))</f>
        <v/>
      </c>
      <c r="E68" s="13">
        <f>IF($A68="","",COUNTIFS(Lines!$A$5:$A$204,$A68))</f>
        <v/>
      </c>
      <c r="F68" s="10">
        <f>IF($A68="","",SUMIFS(Lines!$F$5:$F$204,Lines!$A$5:$A$204,$A68))</f>
        <v/>
      </c>
      <c r="G68" s="10">
        <f>IF($A68="","",SUMIFS(Lines!$M$5:$M$204,Lines!$A$5:$A$204,$A68))</f>
        <v/>
      </c>
      <c r="H68" s="13">
        <f>IF($A68="","",IF($G68&lt;=0,"",IF($D68="","",MAX(0,TODAY()-$D68))))</f>
        <v/>
      </c>
      <c r="I68" s="14">
        <f>IF($A68="","",IF($G68&lt;=0,"Complete",IF($H68&gt;0,"Overdue",IF($G68&lt;$F68,"Part received","Open"))))</f>
        <v/>
      </c>
    </row>
    <row r="69">
      <c r="A69" s="14">
        <f>IFERROR(INDEX(Lines!$A$5:$A$204,MATCH(19,Lines!$S$5:$S$204,0)),"")</f>
        <v/>
      </c>
      <c r="B69" s="14">
        <f>IF($A69="","",IFERROR(INDEX(Lines!$B$5:$B$204,MATCH($A69,Lines!$A$5:$A$204,0))&amp;"",""))</f>
        <v/>
      </c>
      <c r="C69" s="12">
        <f>IF($A69="","",IFERROR(INDEX(Lines!$H$5:$H$204,MATCH($A69,Lines!$A$5:$A$204,0)),""))</f>
        <v/>
      </c>
      <c r="D69" s="12">
        <f>IF($A69="","",IFERROR(INDEX(Lines!$I$5:$I$204,MATCH($A69,Lines!$A$5:$A$204,0)),""))</f>
        <v/>
      </c>
      <c r="E69" s="13">
        <f>IF($A69="","",COUNTIFS(Lines!$A$5:$A$204,$A69))</f>
        <v/>
      </c>
      <c r="F69" s="10">
        <f>IF($A69="","",SUMIFS(Lines!$F$5:$F$204,Lines!$A$5:$A$204,$A69))</f>
        <v/>
      </c>
      <c r="G69" s="10">
        <f>IF($A69="","",SUMIFS(Lines!$M$5:$M$204,Lines!$A$5:$A$204,$A69))</f>
        <v/>
      </c>
      <c r="H69" s="13">
        <f>IF($A69="","",IF($G69&lt;=0,"",IF($D69="","",MAX(0,TODAY()-$D69))))</f>
        <v/>
      </c>
      <c r="I69" s="14">
        <f>IF($A69="","",IF($G69&lt;=0,"Complete",IF($H69&gt;0,"Overdue",IF($G69&lt;$F69,"Part received","Open"))))</f>
        <v/>
      </c>
    </row>
    <row r="70">
      <c r="A70" s="14">
        <f>IFERROR(INDEX(Lines!$A$5:$A$204,MATCH(20,Lines!$S$5:$S$204,0)),"")</f>
        <v/>
      </c>
      <c r="B70" s="14">
        <f>IF($A70="","",IFERROR(INDEX(Lines!$B$5:$B$204,MATCH($A70,Lines!$A$5:$A$204,0))&amp;"",""))</f>
        <v/>
      </c>
      <c r="C70" s="12">
        <f>IF($A70="","",IFERROR(INDEX(Lines!$H$5:$H$204,MATCH($A70,Lines!$A$5:$A$204,0)),""))</f>
        <v/>
      </c>
      <c r="D70" s="12">
        <f>IF($A70="","",IFERROR(INDEX(Lines!$I$5:$I$204,MATCH($A70,Lines!$A$5:$A$204,0)),""))</f>
        <v/>
      </c>
      <c r="E70" s="13">
        <f>IF($A70="","",COUNTIFS(Lines!$A$5:$A$204,$A70))</f>
        <v/>
      </c>
      <c r="F70" s="10">
        <f>IF($A70="","",SUMIFS(Lines!$F$5:$F$204,Lines!$A$5:$A$204,$A70))</f>
        <v/>
      </c>
      <c r="G70" s="10">
        <f>IF($A70="","",SUMIFS(Lines!$M$5:$M$204,Lines!$A$5:$A$204,$A70))</f>
        <v/>
      </c>
      <c r="H70" s="13">
        <f>IF($A70="","",IF($G70&lt;=0,"",IF($D70="","",MAX(0,TODAY()-$D70))))</f>
        <v/>
      </c>
      <c r="I70" s="14">
        <f>IF($A70="","",IF($G70&lt;=0,"Complete",IF($H70&gt;0,"Overdue",IF($G70&lt;$F70,"Part received","Open"))))</f>
        <v/>
      </c>
    </row>
    <row r="71">
      <c r="A71" s="14">
        <f>IFERROR(INDEX(Lines!$A$5:$A$204,MATCH(21,Lines!$S$5:$S$204,0)),"")</f>
        <v/>
      </c>
      <c r="B71" s="14">
        <f>IF($A71="","",IFERROR(INDEX(Lines!$B$5:$B$204,MATCH($A71,Lines!$A$5:$A$204,0))&amp;"",""))</f>
        <v/>
      </c>
      <c r="C71" s="12">
        <f>IF($A71="","",IFERROR(INDEX(Lines!$H$5:$H$204,MATCH($A71,Lines!$A$5:$A$204,0)),""))</f>
        <v/>
      </c>
      <c r="D71" s="12">
        <f>IF($A71="","",IFERROR(INDEX(Lines!$I$5:$I$204,MATCH($A71,Lines!$A$5:$A$204,0)),""))</f>
        <v/>
      </c>
      <c r="E71" s="13">
        <f>IF($A71="","",COUNTIFS(Lines!$A$5:$A$204,$A71))</f>
        <v/>
      </c>
      <c r="F71" s="10">
        <f>IF($A71="","",SUMIFS(Lines!$F$5:$F$204,Lines!$A$5:$A$204,$A71))</f>
        <v/>
      </c>
      <c r="G71" s="10">
        <f>IF($A71="","",SUMIFS(Lines!$M$5:$M$204,Lines!$A$5:$A$204,$A71))</f>
        <v/>
      </c>
      <c r="H71" s="13">
        <f>IF($A71="","",IF($G71&lt;=0,"",IF($D71="","",MAX(0,TODAY()-$D71))))</f>
        <v/>
      </c>
      <c r="I71" s="14">
        <f>IF($A71="","",IF($G71&lt;=0,"Complete",IF($H71&gt;0,"Overdue",IF($G71&lt;$F71,"Part received","Open"))))</f>
        <v/>
      </c>
    </row>
    <row r="72">
      <c r="A72" s="14">
        <f>IFERROR(INDEX(Lines!$A$5:$A$204,MATCH(22,Lines!$S$5:$S$204,0)),"")</f>
        <v/>
      </c>
      <c r="B72" s="14">
        <f>IF($A72="","",IFERROR(INDEX(Lines!$B$5:$B$204,MATCH($A72,Lines!$A$5:$A$204,0))&amp;"",""))</f>
        <v/>
      </c>
      <c r="C72" s="12">
        <f>IF($A72="","",IFERROR(INDEX(Lines!$H$5:$H$204,MATCH($A72,Lines!$A$5:$A$204,0)),""))</f>
        <v/>
      </c>
      <c r="D72" s="12">
        <f>IF($A72="","",IFERROR(INDEX(Lines!$I$5:$I$204,MATCH($A72,Lines!$A$5:$A$204,0)),""))</f>
        <v/>
      </c>
      <c r="E72" s="13">
        <f>IF($A72="","",COUNTIFS(Lines!$A$5:$A$204,$A72))</f>
        <v/>
      </c>
      <c r="F72" s="10">
        <f>IF($A72="","",SUMIFS(Lines!$F$5:$F$204,Lines!$A$5:$A$204,$A72))</f>
        <v/>
      </c>
      <c r="G72" s="10">
        <f>IF($A72="","",SUMIFS(Lines!$M$5:$M$204,Lines!$A$5:$A$204,$A72))</f>
        <v/>
      </c>
      <c r="H72" s="13">
        <f>IF($A72="","",IF($G72&lt;=0,"",IF($D72="","",MAX(0,TODAY()-$D72))))</f>
        <v/>
      </c>
      <c r="I72" s="14">
        <f>IF($A72="","",IF($G72&lt;=0,"Complete",IF($H72&gt;0,"Overdue",IF($G72&lt;$F72,"Part received","Open"))))</f>
        <v/>
      </c>
    </row>
    <row r="73">
      <c r="A73" s="14">
        <f>IFERROR(INDEX(Lines!$A$5:$A$204,MATCH(23,Lines!$S$5:$S$204,0)),"")</f>
        <v/>
      </c>
      <c r="B73" s="14">
        <f>IF($A73="","",IFERROR(INDEX(Lines!$B$5:$B$204,MATCH($A73,Lines!$A$5:$A$204,0))&amp;"",""))</f>
        <v/>
      </c>
      <c r="C73" s="12">
        <f>IF($A73="","",IFERROR(INDEX(Lines!$H$5:$H$204,MATCH($A73,Lines!$A$5:$A$204,0)),""))</f>
        <v/>
      </c>
      <c r="D73" s="12">
        <f>IF($A73="","",IFERROR(INDEX(Lines!$I$5:$I$204,MATCH($A73,Lines!$A$5:$A$204,0)),""))</f>
        <v/>
      </c>
      <c r="E73" s="13">
        <f>IF($A73="","",COUNTIFS(Lines!$A$5:$A$204,$A73))</f>
        <v/>
      </c>
      <c r="F73" s="10">
        <f>IF($A73="","",SUMIFS(Lines!$F$5:$F$204,Lines!$A$5:$A$204,$A73))</f>
        <v/>
      </c>
      <c r="G73" s="10">
        <f>IF($A73="","",SUMIFS(Lines!$M$5:$M$204,Lines!$A$5:$A$204,$A73))</f>
        <v/>
      </c>
      <c r="H73" s="13">
        <f>IF($A73="","",IF($G73&lt;=0,"",IF($D73="","",MAX(0,TODAY()-$D73))))</f>
        <v/>
      </c>
      <c r="I73" s="14">
        <f>IF($A73="","",IF($G73&lt;=0,"Complete",IF($H73&gt;0,"Overdue",IF($G73&lt;$F73,"Part received","Open"))))</f>
        <v/>
      </c>
    </row>
    <row r="74">
      <c r="A74" s="14">
        <f>IFERROR(INDEX(Lines!$A$5:$A$204,MATCH(24,Lines!$S$5:$S$204,0)),"")</f>
        <v/>
      </c>
      <c r="B74" s="14">
        <f>IF($A74="","",IFERROR(INDEX(Lines!$B$5:$B$204,MATCH($A74,Lines!$A$5:$A$204,0))&amp;"",""))</f>
        <v/>
      </c>
      <c r="C74" s="12">
        <f>IF($A74="","",IFERROR(INDEX(Lines!$H$5:$H$204,MATCH($A74,Lines!$A$5:$A$204,0)),""))</f>
        <v/>
      </c>
      <c r="D74" s="12">
        <f>IF($A74="","",IFERROR(INDEX(Lines!$I$5:$I$204,MATCH($A74,Lines!$A$5:$A$204,0)),""))</f>
        <v/>
      </c>
      <c r="E74" s="13">
        <f>IF($A74="","",COUNTIFS(Lines!$A$5:$A$204,$A74))</f>
        <v/>
      </c>
      <c r="F74" s="10">
        <f>IF($A74="","",SUMIFS(Lines!$F$5:$F$204,Lines!$A$5:$A$204,$A74))</f>
        <v/>
      </c>
      <c r="G74" s="10">
        <f>IF($A74="","",SUMIFS(Lines!$M$5:$M$204,Lines!$A$5:$A$204,$A74))</f>
        <v/>
      </c>
      <c r="H74" s="13">
        <f>IF($A74="","",IF($G74&lt;=0,"",IF($D74="","",MAX(0,TODAY()-$D74))))</f>
        <v/>
      </c>
      <c r="I74" s="14">
        <f>IF($A74="","",IF($G74&lt;=0,"Complete",IF($H74&gt;0,"Overdue",IF($G74&lt;$F74,"Part received","Open"))))</f>
        <v/>
      </c>
    </row>
    <row r="75">
      <c r="A75" s="14">
        <f>IFERROR(INDEX(Lines!$A$5:$A$204,MATCH(25,Lines!$S$5:$S$204,0)),"")</f>
        <v/>
      </c>
      <c r="B75" s="14">
        <f>IF($A75="","",IFERROR(INDEX(Lines!$B$5:$B$204,MATCH($A75,Lines!$A$5:$A$204,0))&amp;"",""))</f>
        <v/>
      </c>
      <c r="C75" s="12">
        <f>IF($A75="","",IFERROR(INDEX(Lines!$H$5:$H$204,MATCH($A75,Lines!$A$5:$A$204,0)),""))</f>
        <v/>
      </c>
      <c r="D75" s="12">
        <f>IF($A75="","",IFERROR(INDEX(Lines!$I$5:$I$204,MATCH($A75,Lines!$A$5:$A$204,0)),""))</f>
        <v/>
      </c>
      <c r="E75" s="13">
        <f>IF($A75="","",COUNTIFS(Lines!$A$5:$A$204,$A75))</f>
        <v/>
      </c>
      <c r="F75" s="10">
        <f>IF($A75="","",SUMIFS(Lines!$F$5:$F$204,Lines!$A$5:$A$204,$A75))</f>
        <v/>
      </c>
      <c r="G75" s="10">
        <f>IF($A75="","",SUMIFS(Lines!$M$5:$M$204,Lines!$A$5:$A$204,$A75))</f>
        <v/>
      </c>
      <c r="H75" s="13">
        <f>IF($A75="","",IF($G75&lt;=0,"",IF($D75="","",MAX(0,TODAY()-$D75))))</f>
        <v/>
      </c>
      <c r="I75" s="14">
        <f>IF($A75="","",IF($G75&lt;=0,"Complete",IF($H75&gt;0,"Overdue",IF($G75&lt;$F75,"Part received","Open"))))</f>
        <v/>
      </c>
    </row>
    <row r="76">
      <c r="A76" s="14">
        <f>IFERROR(INDEX(Lines!$A$5:$A$204,MATCH(26,Lines!$S$5:$S$204,0)),"")</f>
        <v/>
      </c>
      <c r="B76" s="14">
        <f>IF($A76="","",IFERROR(INDEX(Lines!$B$5:$B$204,MATCH($A76,Lines!$A$5:$A$204,0))&amp;"",""))</f>
        <v/>
      </c>
      <c r="C76" s="12">
        <f>IF($A76="","",IFERROR(INDEX(Lines!$H$5:$H$204,MATCH($A76,Lines!$A$5:$A$204,0)),""))</f>
        <v/>
      </c>
      <c r="D76" s="12">
        <f>IF($A76="","",IFERROR(INDEX(Lines!$I$5:$I$204,MATCH($A76,Lines!$A$5:$A$204,0)),""))</f>
        <v/>
      </c>
      <c r="E76" s="13">
        <f>IF($A76="","",COUNTIFS(Lines!$A$5:$A$204,$A76))</f>
        <v/>
      </c>
      <c r="F76" s="10">
        <f>IF($A76="","",SUMIFS(Lines!$F$5:$F$204,Lines!$A$5:$A$204,$A76))</f>
        <v/>
      </c>
      <c r="G76" s="10">
        <f>IF($A76="","",SUMIFS(Lines!$M$5:$M$204,Lines!$A$5:$A$204,$A76))</f>
        <v/>
      </c>
      <c r="H76" s="13">
        <f>IF($A76="","",IF($G76&lt;=0,"",IF($D76="","",MAX(0,TODAY()-$D76))))</f>
        <v/>
      </c>
      <c r="I76" s="14">
        <f>IF($A76="","",IF($G76&lt;=0,"Complete",IF($H76&gt;0,"Overdue",IF($G76&lt;$F76,"Part received","Open"))))</f>
        <v/>
      </c>
    </row>
    <row r="77">
      <c r="A77" s="14">
        <f>IFERROR(INDEX(Lines!$A$5:$A$204,MATCH(27,Lines!$S$5:$S$204,0)),"")</f>
        <v/>
      </c>
      <c r="B77" s="14">
        <f>IF($A77="","",IFERROR(INDEX(Lines!$B$5:$B$204,MATCH($A77,Lines!$A$5:$A$204,0))&amp;"",""))</f>
        <v/>
      </c>
      <c r="C77" s="12">
        <f>IF($A77="","",IFERROR(INDEX(Lines!$H$5:$H$204,MATCH($A77,Lines!$A$5:$A$204,0)),""))</f>
        <v/>
      </c>
      <c r="D77" s="12">
        <f>IF($A77="","",IFERROR(INDEX(Lines!$I$5:$I$204,MATCH($A77,Lines!$A$5:$A$204,0)),""))</f>
        <v/>
      </c>
      <c r="E77" s="13">
        <f>IF($A77="","",COUNTIFS(Lines!$A$5:$A$204,$A77))</f>
        <v/>
      </c>
      <c r="F77" s="10">
        <f>IF($A77="","",SUMIFS(Lines!$F$5:$F$204,Lines!$A$5:$A$204,$A77))</f>
        <v/>
      </c>
      <c r="G77" s="10">
        <f>IF($A77="","",SUMIFS(Lines!$M$5:$M$204,Lines!$A$5:$A$204,$A77))</f>
        <v/>
      </c>
      <c r="H77" s="13">
        <f>IF($A77="","",IF($G77&lt;=0,"",IF($D77="","",MAX(0,TODAY()-$D77))))</f>
        <v/>
      </c>
      <c r="I77" s="14">
        <f>IF($A77="","",IF($G77&lt;=0,"Complete",IF($H77&gt;0,"Overdue",IF($G77&lt;$F77,"Part received","Open"))))</f>
        <v/>
      </c>
    </row>
    <row r="78">
      <c r="A78" s="14">
        <f>IFERROR(INDEX(Lines!$A$5:$A$204,MATCH(28,Lines!$S$5:$S$204,0)),"")</f>
        <v/>
      </c>
      <c r="B78" s="14">
        <f>IF($A78="","",IFERROR(INDEX(Lines!$B$5:$B$204,MATCH($A78,Lines!$A$5:$A$204,0))&amp;"",""))</f>
        <v/>
      </c>
      <c r="C78" s="12">
        <f>IF($A78="","",IFERROR(INDEX(Lines!$H$5:$H$204,MATCH($A78,Lines!$A$5:$A$204,0)),""))</f>
        <v/>
      </c>
      <c r="D78" s="12">
        <f>IF($A78="","",IFERROR(INDEX(Lines!$I$5:$I$204,MATCH($A78,Lines!$A$5:$A$204,0)),""))</f>
        <v/>
      </c>
      <c r="E78" s="13">
        <f>IF($A78="","",COUNTIFS(Lines!$A$5:$A$204,$A78))</f>
        <v/>
      </c>
      <c r="F78" s="10">
        <f>IF($A78="","",SUMIFS(Lines!$F$5:$F$204,Lines!$A$5:$A$204,$A78))</f>
        <v/>
      </c>
      <c r="G78" s="10">
        <f>IF($A78="","",SUMIFS(Lines!$M$5:$M$204,Lines!$A$5:$A$204,$A78))</f>
        <v/>
      </c>
      <c r="H78" s="13">
        <f>IF($A78="","",IF($G78&lt;=0,"",IF($D78="","",MAX(0,TODAY()-$D78))))</f>
        <v/>
      </c>
      <c r="I78" s="14">
        <f>IF($A78="","",IF($G78&lt;=0,"Complete",IF($H78&gt;0,"Overdue",IF($G78&lt;$F78,"Part received","Open"))))</f>
        <v/>
      </c>
    </row>
    <row r="79">
      <c r="A79" s="14">
        <f>IFERROR(INDEX(Lines!$A$5:$A$204,MATCH(29,Lines!$S$5:$S$204,0)),"")</f>
        <v/>
      </c>
      <c r="B79" s="14">
        <f>IF($A79="","",IFERROR(INDEX(Lines!$B$5:$B$204,MATCH($A79,Lines!$A$5:$A$204,0))&amp;"",""))</f>
        <v/>
      </c>
      <c r="C79" s="12">
        <f>IF($A79="","",IFERROR(INDEX(Lines!$H$5:$H$204,MATCH($A79,Lines!$A$5:$A$204,0)),""))</f>
        <v/>
      </c>
      <c r="D79" s="12">
        <f>IF($A79="","",IFERROR(INDEX(Lines!$I$5:$I$204,MATCH($A79,Lines!$A$5:$A$204,0)),""))</f>
        <v/>
      </c>
      <c r="E79" s="13">
        <f>IF($A79="","",COUNTIFS(Lines!$A$5:$A$204,$A79))</f>
        <v/>
      </c>
      <c r="F79" s="10">
        <f>IF($A79="","",SUMIFS(Lines!$F$5:$F$204,Lines!$A$5:$A$204,$A79))</f>
        <v/>
      </c>
      <c r="G79" s="10">
        <f>IF($A79="","",SUMIFS(Lines!$M$5:$M$204,Lines!$A$5:$A$204,$A79))</f>
        <v/>
      </c>
      <c r="H79" s="13">
        <f>IF($A79="","",IF($G79&lt;=0,"",IF($D79="","",MAX(0,TODAY()-$D79))))</f>
        <v/>
      </c>
      <c r="I79" s="14">
        <f>IF($A79="","",IF($G79&lt;=0,"Complete",IF($H79&gt;0,"Overdue",IF($G79&lt;$F79,"Part received","Open"))))</f>
        <v/>
      </c>
    </row>
    <row r="80">
      <c r="A80" s="14">
        <f>IFERROR(INDEX(Lines!$A$5:$A$204,MATCH(30,Lines!$S$5:$S$204,0)),"")</f>
        <v/>
      </c>
      <c r="B80" s="14">
        <f>IF($A80="","",IFERROR(INDEX(Lines!$B$5:$B$204,MATCH($A80,Lines!$A$5:$A$204,0))&amp;"",""))</f>
        <v/>
      </c>
      <c r="C80" s="12">
        <f>IF($A80="","",IFERROR(INDEX(Lines!$H$5:$H$204,MATCH($A80,Lines!$A$5:$A$204,0)),""))</f>
        <v/>
      </c>
      <c r="D80" s="12">
        <f>IF($A80="","",IFERROR(INDEX(Lines!$I$5:$I$204,MATCH($A80,Lines!$A$5:$A$204,0)),""))</f>
        <v/>
      </c>
      <c r="E80" s="13">
        <f>IF($A80="","",COUNTIFS(Lines!$A$5:$A$204,$A80))</f>
        <v/>
      </c>
      <c r="F80" s="10">
        <f>IF($A80="","",SUMIFS(Lines!$F$5:$F$204,Lines!$A$5:$A$204,$A80))</f>
        <v/>
      </c>
      <c r="G80" s="10">
        <f>IF($A80="","",SUMIFS(Lines!$M$5:$M$204,Lines!$A$5:$A$204,$A80))</f>
        <v/>
      </c>
      <c r="H80" s="13">
        <f>IF($A80="","",IF($G80&lt;=0,"",IF($D80="","",MAX(0,TODAY()-$D80))))</f>
        <v/>
      </c>
      <c r="I80" s="14">
        <f>IF($A80="","",IF($G80&lt;=0,"Complete",IF($H80&gt;0,"Overdue",IF($G80&lt;$F80,"Part received","Open"))))</f>
        <v/>
      </c>
    </row>
    <row r="81">
      <c r="A81" s="14">
        <f>IFERROR(INDEX(Lines!$A$5:$A$204,MATCH(31,Lines!$S$5:$S$204,0)),"")</f>
        <v/>
      </c>
      <c r="B81" s="14">
        <f>IF($A81="","",IFERROR(INDEX(Lines!$B$5:$B$204,MATCH($A81,Lines!$A$5:$A$204,0))&amp;"",""))</f>
        <v/>
      </c>
      <c r="C81" s="12">
        <f>IF($A81="","",IFERROR(INDEX(Lines!$H$5:$H$204,MATCH($A81,Lines!$A$5:$A$204,0)),""))</f>
        <v/>
      </c>
      <c r="D81" s="12">
        <f>IF($A81="","",IFERROR(INDEX(Lines!$I$5:$I$204,MATCH($A81,Lines!$A$5:$A$204,0)),""))</f>
        <v/>
      </c>
      <c r="E81" s="13">
        <f>IF($A81="","",COUNTIFS(Lines!$A$5:$A$204,$A81))</f>
        <v/>
      </c>
      <c r="F81" s="10">
        <f>IF($A81="","",SUMIFS(Lines!$F$5:$F$204,Lines!$A$5:$A$204,$A81))</f>
        <v/>
      </c>
      <c r="G81" s="10">
        <f>IF($A81="","",SUMIFS(Lines!$M$5:$M$204,Lines!$A$5:$A$204,$A81))</f>
        <v/>
      </c>
      <c r="H81" s="13">
        <f>IF($A81="","",IF($G81&lt;=0,"",IF($D81="","",MAX(0,TODAY()-$D81))))</f>
        <v/>
      </c>
      <c r="I81" s="14">
        <f>IF($A81="","",IF($G81&lt;=0,"Complete",IF($H81&gt;0,"Overdue",IF($G81&lt;$F81,"Part received","Open"))))</f>
        <v/>
      </c>
    </row>
    <row r="82">
      <c r="A82" s="14">
        <f>IFERROR(INDEX(Lines!$A$5:$A$204,MATCH(32,Lines!$S$5:$S$204,0)),"")</f>
        <v/>
      </c>
      <c r="B82" s="14">
        <f>IF($A82="","",IFERROR(INDEX(Lines!$B$5:$B$204,MATCH($A82,Lines!$A$5:$A$204,0))&amp;"",""))</f>
        <v/>
      </c>
      <c r="C82" s="12">
        <f>IF($A82="","",IFERROR(INDEX(Lines!$H$5:$H$204,MATCH($A82,Lines!$A$5:$A$204,0)),""))</f>
        <v/>
      </c>
      <c r="D82" s="12">
        <f>IF($A82="","",IFERROR(INDEX(Lines!$I$5:$I$204,MATCH($A82,Lines!$A$5:$A$204,0)),""))</f>
        <v/>
      </c>
      <c r="E82" s="13">
        <f>IF($A82="","",COUNTIFS(Lines!$A$5:$A$204,$A82))</f>
        <v/>
      </c>
      <c r="F82" s="10">
        <f>IF($A82="","",SUMIFS(Lines!$F$5:$F$204,Lines!$A$5:$A$204,$A82))</f>
        <v/>
      </c>
      <c r="G82" s="10">
        <f>IF($A82="","",SUMIFS(Lines!$M$5:$M$204,Lines!$A$5:$A$204,$A82))</f>
        <v/>
      </c>
      <c r="H82" s="13">
        <f>IF($A82="","",IF($G82&lt;=0,"",IF($D82="","",MAX(0,TODAY()-$D82))))</f>
        <v/>
      </c>
      <c r="I82" s="14">
        <f>IF($A82="","",IF($G82&lt;=0,"Complete",IF($H82&gt;0,"Overdue",IF($G82&lt;$F82,"Part received","Open"))))</f>
        <v/>
      </c>
    </row>
    <row r="83">
      <c r="A83" s="14">
        <f>IFERROR(INDEX(Lines!$A$5:$A$204,MATCH(33,Lines!$S$5:$S$204,0)),"")</f>
        <v/>
      </c>
      <c r="B83" s="14">
        <f>IF($A83="","",IFERROR(INDEX(Lines!$B$5:$B$204,MATCH($A83,Lines!$A$5:$A$204,0))&amp;"",""))</f>
        <v/>
      </c>
      <c r="C83" s="12">
        <f>IF($A83="","",IFERROR(INDEX(Lines!$H$5:$H$204,MATCH($A83,Lines!$A$5:$A$204,0)),""))</f>
        <v/>
      </c>
      <c r="D83" s="12">
        <f>IF($A83="","",IFERROR(INDEX(Lines!$I$5:$I$204,MATCH($A83,Lines!$A$5:$A$204,0)),""))</f>
        <v/>
      </c>
      <c r="E83" s="13">
        <f>IF($A83="","",COUNTIFS(Lines!$A$5:$A$204,$A83))</f>
        <v/>
      </c>
      <c r="F83" s="10">
        <f>IF($A83="","",SUMIFS(Lines!$F$5:$F$204,Lines!$A$5:$A$204,$A83))</f>
        <v/>
      </c>
      <c r="G83" s="10">
        <f>IF($A83="","",SUMIFS(Lines!$M$5:$M$204,Lines!$A$5:$A$204,$A83))</f>
        <v/>
      </c>
      <c r="H83" s="13">
        <f>IF($A83="","",IF($G83&lt;=0,"",IF($D83="","",MAX(0,TODAY()-$D83))))</f>
        <v/>
      </c>
      <c r="I83" s="14">
        <f>IF($A83="","",IF($G83&lt;=0,"Complete",IF($H83&gt;0,"Overdue",IF($G83&lt;$F83,"Part received","Open"))))</f>
        <v/>
      </c>
    </row>
    <row r="84">
      <c r="A84" s="14">
        <f>IFERROR(INDEX(Lines!$A$5:$A$204,MATCH(34,Lines!$S$5:$S$204,0)),"")</f>
        <v/>
      </c>
      <c r="B84" s="14">
        <f>IF($A84="","",IFERROR(INDEX(Lines!$B$5:$B$204,MATCH($A84,Lines!$A$5:$A$204,0))&amp;"",""))</f>
        <v/>
      </c>
      <c r="C84" s="12">
        <f>IF($A84="","",IFERROR(INDEX(Lines!$H$5:$H$204,MATCH($A84,Lines!$A$5:$A$204,0)),""))</f>
        <v/>
      </c>
      <c r="D84" s="12">
        <f>IF($A84="","",IFERROR(INDEX(Lines!$I$5:$I$204,MATCH($A84,Lines!$A$5:$A$204,0)),""))</f>
        <v/>
      </c>
      <c r="E84" s="13">
        <f>IF($A84="","",COUNTIFS(Lines!$A$5:$A$204,$A84))</f>
        <v/>
      </c>
      <c r="F84" s="10">
        <f>IF($A84="","",SUMIFS(Lines!$F$5:$F$204,Lines!$A$5:$A$204,$A84))</f>
        <v/>
      </c>
      <c r="G84" s="10">
        <f>IF($A84="","",SUMIFS(Lines!$M$5:$M$204,Lines!$A$5:$A$204,$A84))</f>
        <v/>
      </c>
      <c r="H84" s="13">
        <f>IF($A84="","",IF($G84&lt;=0,"",IF($D84="","",MAX(0,TODAY()-$D84))))</f>
        <v/>
      </c>
      <c r="I84" s="14">
        <f>IF($A84="","",IF($G84&lt;=0,"Complete",IF($H84&gt;0,"Overdue",IF($G84&lt;$F84,"Part received","Open"))))</f>
        <v/>
      </c>
    </row>
    <row r="85">
      <c r="A85" s="14">
        <f>IFERROR(INDEX(Lines!$A$5:$A$204,MATCH(35,Lines!$S$5:$S$204,0)),"")</f>
        <v/>
      </c>
      <c r="B85" s="14">
        <f>IF($A85="","",IFERROR(INDEX(Lines!$B$5:$B$204,MATCH($A85,Lines!$A$5:$A$204,0))&amp;"",""))</f>
        <v/>
      </c>
      <c r="C85" s="12">
        <f>IF($A85="","",IFERROR(INDEX(Lines!$H$5:$H$204,MATCH($A85,Lines!$A$5:$A$204,0)),""))</f>
        <v/>
      </c>
      <c r="D85" s="12">
        <f>IF($A85="","",IFERROR(INDEX(Lines!$I$5:$I$204,MATCH($A85,Lines!$A$5:$A$204,0)),""))</f>
        <v/>
      </c>
      <c r="E85" s="13">
        <f>IF($A85="","",COUNTIFS(Lines!$A$5:$A$204,$A85))</f>
        <v/>
      </c>
      <c r="F85" s="10">
        <f>IF($A85="","",SUMIFS(Lines!$F$5:$F$204,Lines!$A$5:$A$204,$A85))</f>
        <v/>
      </c>
      <c r="G85" s="10">
        <f>IF($A85="","",SUMIFS(Lines!$M$5:$M$204,Lines!$A$5:$A$204,$A85))</f>
        <v/>
      </c>
      <c r="H85" s="13">
        <f>IF($A85="","",IF($G85&lt;=0,"",IF($D85="","",MAX(0,TODAY()-$D85))))</f>
        <v/>
      </c>
      <c r="I85" s="14">
        <f>IF($A85="","",IF($G85&lt;=0,"Complete",IF($H85&gt;0,"Overdue",IF($G85&lt;$F85,"Part received","Open"))))</f>
        <v/>
      </c>
    </row>
    <row r="86">
      <c r="A86" s="14">
        <f>IFERROR(INDEX(Lines!$A$5:$A$204,MATCH(36,Lines!$S$5:$S$204,0)),"")</f>
        <v/>
      </c>
      <c r="B86" s="14">
        <f>IF($A86="","",IFERROR(INDEX(Lines!$B$5:$B$204,MATCH($A86,Lines!$A$5:$A$204,0))&amp;"",""))</f>
        <v/>
      </c>
      <c r="C86" s="12">
        <f>IF($A86="","",IFERROR(INDEX(Lines!$H$5:$H$204,MATCH($A86,Lines!$A$5:$A$204,0)),""))</f>
        <v/>
      </c>
      <c r="D86" s="12">
        <f>IF($A86="","",IFERROR(INDEX(Lines!$I$5:$I$204,MATCH($A86,Lines!$A$5:$A$204,0)),""))</f>
        <v/>
      </c>
      <c r="E86" s="13">
        <f>IF($A86="","",COUNTIFS(Lines!$A$5:$A$204,$A86))</f>
        <v/>
      </c>
      <c r="F86" s="10">
        <f>IF($A86="","",SUMIFS(Lines!$F$5:$F$204,Lines!$A$5:$A$204,$A86))</f>
        <v/>
      </c>
      <c r="G86" s="10">
        <f>IF($A86="","",SUMIFS(Lines!$M$5:$M$204,Lines!$A$5:$A$204,$A86))</f>
        <v/>
      </c>
      <c r="H86" s="13">
        <f>IF($A86="","",IF($G86&lt;=0,"",IF($D86="","",MAX(0,TODAY()-$D86))))</f>
        <v/>
      </c>
      <c r="I86" s="14">
        <f>IF($A86="","",IF($G86&lt;=0,"Complete",IF($H86&gt;0,"Overdue",IF($G86&lt;$F86,"Part received","Open"))))</f>
        <v/>
      </c>
    </row>
    <row r="87">
      <c r="A87" s="14">
        <f>IFERROR(INDEX(Lines!$A$5:$A$204,MATCH(37,Lines!$S$5:$S$204,0)),"")</f>
        <v/>
      </c>
      <c r="B87" s="14">
        <f>IF($A87="","",IFERROR(INDEX(Lines!$B$5:$B$204,MATCH($A87,Lines!$A$5:$A$204,0))&amp;"",""))</f>
        <v/>
      </c>
      <c r="C87" s="12">
        <f>IF($A87="","",IFERROR(INDEX(Lines!$H$5:$H$204,MATCH($A87,Lines!$A$5:$A$204,0)),""))</f>
        <v/>
      </c>
      <c r="D87" s="12">
        <f>IF($A87="","",IFERROR(INDEX(Lines!$I$5:$I$204,MATCH($A87,Lines!$A$5:$A$204,0)),""))</f>
        <v/>
      </c>
      <c r="E87" s="13">
        <f>IF($A87="","",COUNTIFS(Lines!$A$5:$A$204,$A87))</f>
        <v/>
      </c>
      <c r="F87" s="10">
        <f>IF($A87="","",SUMIFS(Lines!$F$5:$F$204,Lines!$A$5:$A$204,$A87))</f>
        <v/>
      </c>
      <c r="G87" s="10">
        <f>IF($A87="","",SUMIFS(Lines!$M$5:$M$204,Lines!$A$5:$A$204,$A87))</f>
        <v/>
      </c>
      <c r="H87" s="13">
        <f>IF($A87="","",IF($G87&lt;=0,"",IF($D87="","",MAX(0,TODAY()-$D87))))</f>
        <v/>
      </c>
      <c r="I87" s="14">
        <f>IF($A87="","",IF($G87&lt;=0,"Complete",IF($H87&gt;0,"Overdue",IF($G87&lt;$F87,"Part received","Open"))))</f>
        <v/>
      </c>
    </row>
    <row r="88">
      <c r="A88" s="14">
        <f>IFERROR(INDEX(Lines!$A$5:$A$204,MATCH(38,Lines!$S$5:$S$204,0)),"")</f>
        <v/>
      </c>
      <c r="B88" s="14">
        <f>IF($A88="","",IFERROR(INDEX(Lines!$B$5:$B$204,MATCH($A88,Lines!$A$5:$A$204,0))&amp;"",""))</f>
        <v/>
      </c>
      <c r="C88" s="12">
        <f>IF($A88="","",IFERROR(INDEX(Lines!$H$5:$H$204,MATCH($A88,Lines!$A$5:$A$204,0)),""))</f>
        <v/>
      </c>
      <c r="D88" s="12">
        <f>IF($A88="","",IFERROR(INDEX(Lines!$I$5:$I$204,MATCH($A88,Lines!$A$5:$A$204,0)),""))</f>
        <v/>
      </c>
      <c r="E88" s="13">
        <f>IF($A88="","",COUNTIFS(Lines!$A$5:$A$204,$A88))</f>
        <v/>
      </c>
      <c r="F88" s="10">
        <f>IF($A88="","",SUMIFS(Lines!$F$5:$F$204,Lines!$A$5:$A$204,$A88))</f>
        <v/>
      </c>
      <c r="G88" s="10">
        <f>IF($A88="","",SUMIFS(Lines!$M$5:$M$204,Lines!$A$5:$A$204,$A88))</f>
        <v/>
      </c>
      <c r="H88" s="13">
        <f>IF($A88="","",IF($G88&lt;=0,"",IF($D88="","",MAX(0,TODAY()-$D88))))</f>
        <v/>
      </c>
      <c r="I88" s="14">
        <f>IF($A88="","",IF($G88&lt;=0,"Complete",IF($H88&gt;0,"Overdue",IF($G88&lt;$F88,"Part received","Open"))))</f>
        <v/>
      </c>
    </row>
    <row r="89">
      <c r="A89" s="14">
        <f>IFERROR(INDEX(Lines!$A$5:$A$204,MATCH(39,Lines!$S$5:$S$204,0)),"")</f>
        <v/>
      </c>
      <c r="B89" s="14">
        <f>IF($A89="","",IFERROR(INDEX(Lines!$B$5:$B$204,MATCH($A89,Lines!$A$5:$A$204,0))&amp;"",""))</f>
        <v/>
      </c>
      <c r="C89" s="12">
        <f>IF($A89="","",IFERROR(INDEX(Lines!$H$5:$H$204,MATCH($A89,Lines!$A$5:$A$204,0)),""))</f>
        <v/>
      </c>
      <c r="D89" s="12">
        <f>IF($A89="","",IFERROR(INDEX(Lines!$I$5:$I$204,MATCH($A89,Lines!$A$5:$A$204,0)),""))</f>
        <v/>
      </c>
      <c r="E89" s="13">
        <f>IF($A89="","",COUNTIFS(Lines!$A$5:$A$204,$A89))</f>
        <v/>
      </c>
      <c r="F89" s="10">
        <f>IF($A89="","",SUMIFS(Lines!$F$5:$F$204,Lines!$A$5:$A$204,$A89))</f>
        <v/>
      </c>
      <c r="G89" s="10">
        <f>IF($A89="","",SUMIFS(Lines!$M$5:$M$204,Lines!$A$5:$A$204,$A89))</f>
        <v/>
      </c>
      <c r="H89" s="13">
        <f>IF($A89="","",IF($G89&lt;=0,"",IF($D89="","",MAX(0,TODAY()-$D89))))</f>
        <v/>
      </c>
      <c r="I89" s="14">
        <f>IF($A89="","",IF($G89&lt;=0,"Complete",IF($H89&gt;0,"Overdue",IF($G89&lt;$F89,"Part received","Open"))))</f>
        <v/>
      </c>
    </row>
    <row r="90">
      <c r="A90" s="14">
        <f>IFERROR(INDEX(Lines!$A$5:$A$204,MATCH(40,Lines!$S$5:$S$204,0)),"")</f>
        <v/>
      </c>
      <c r="B90" s="14">
        <f>IF($A90="","",IFERROR(INDEX(Lines!$B$5:$B$204,MATCH($A90,Lines!$A$5:$A$204,0))&amp;"",""))</f>
        <v/>
      </c>
      <c r="C90" s="12">
        <f>IF($A90="","",IFERROR(INDEX(Lines!$H$5:$H$204,MATCH($A90,Lines!$A$5:$A$204,0)),""))</f>
        <v/>
      </c>
      <c r="D90" s="12">
        <f>IF($A90="","",IFERROR(INDEX(Lines!$I$5:$I$204,MATCH($A90,Lines!$A$5:$A$204,0)),""))</f>
        <v/>
      </c>
      <c r="E90" s="13">
        <f>IF($A90="","",COUNTIFS(Lines!$A$5:$A$204,$A90))</f>
        <v/>
      </c>
      <c r="F90" s="10">
        <f>IF($A90="","",SUMIFS(Lines!$F$5:$F$204,Lines!$A$5:$A$204,$A90))</f>
        <v/>
      </c>
      <c r="G90" s="10">
        <f>IF($A90="","",SUMIFS(Lines!$M$5:$M$204,Lines!$A$5:$A$204,$A90))</f>
        <v/>
      </c>
      <c r="H90" s="13">
        <f>IF($A90="","",IF($G90&lt;=0,"",IF($D90="","",MAX(0,TODAY()-$D90))))</f>
        <v/>
      </c>
      <c r="I90" s="14">
        <f>IF($A90="","",IF($G90&lt;=0,"Complete",IF($H90&gt;0,"Overdue",IF($G90&lt;$F90,"Part received","Open"))))</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2026-09-12T18:37:03Z</dcterms:created>
  <dcterms:modified xsi:type="dcterms:W3CDTF">2026-09-12T18:37:03Z</dcterms:modified>
</cp:coreProperties>
</file>