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ntracts" sheetId="2" state="visible" r:id="rId2"/>
    <sheet name="Vendors" sheetId="3" state="visible" r:id="rId3"/>
    <sheet name="Spend" sheetId="4" state="visible" r:id="rId4"/>
    <sheet name="Calendar" sheetId="5" state="visible" r:id="rId5"/>
  </sheets>
  <definedNames/>
  <calcPr calcId="124519" fullCalcOnLoad="1"/>
</workbook>
</file>

<file path=xl/styles.xml><?xml version="1.0" encoding="utf-8"?>
<styleSheet xmlns="http://schemas.openxmlformats.org/spreadsheetml/2006/main">
  <numFmts count="4">
    <numFmt numFmtId="164" formatCode="$#,##0.00;($#,##0.00);-"/>
    <numFmt numFmtId="165" formatCode="yyyy-mm-dd"/>
    <numFmt numFmtId="166" formatCode="0.0%"/>
    <numFmt numFmtId="167" formatCode="yyyy-mm"/>
  </numFmts>
  <fonts count="8">
    <font>
      <name val="Calibri"/>
      <family val="2"/>
      <color theme="1"/>
      <sz val="11"/>
      <scheme val="minor"/>
    </font>
    <font>
      <name val="Arial"/>
      <b val="1"/>
      <sz val="14"/>
    </font>
    <font>
      <name val="Arial"/>
      <i val="1"/>
      <color rgb="00595959"/>
      <sz val="9"/>
    </font>
    <font>
      <name val="Arial"/>
      <b val="1"/>
      <sz val="10"/>
    </font>
    <font>
      <name val="Arial"/>
      <color rgb="000000FF"/>
      <sz val="10"/>
    </font>
    <font>
      <name val="Arial"/>
      <b val="1"/>
      <color rgb="00FFFFFF"/>
      <sz val="10"/>
    </font>
    <font>
      <name val="Arial"/>
      <sz val="10"/>
    </font>
    <font>
      <name val="Arial"/>
      <b val="1"/>
      <color rgb="000000FF"/>
      <sz val="10"/>
    </font>
  </fonts>
  <fills count="4">
    <fill>
      <patternFill/>
    </fill>
    <fill>
      <patternFill patternType="gray125"/>
    </fill>
    <fill>
      <patternFill patternType="solid">
        <fgColor rgb="00FFF2CC"/>
      </patternFill>
    </fill>
    <fill>
      <patternFill patternType="solid">
        <fgColor rgb="00217346"/>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6" fillId="0" borderId="0" applyAlignment="1" pivotButton="0" quotePrefix="0" xfId="0">
      <alignment vertical="top" wrapText="1"/>
    </xf>
    <xf numFmtId="0" fontId="7" fillId="2" borderId="0" pivotButton="0" quotePrefix="0" xfId="0"/>
    <xf numFmtId="3" fontId="4" fillId="2" borderId="1" pivotButton="0" quotePrefix="0" xfId="0"/>
    <xf numFmtId="0" fontId="5" fillId="3" borderId="1" applyAlignment="1" pivotButton="0" quotePrefix="0" xfId="0">
      <alignment horizontal="center" vertical="center" wrapText="1"/>
    </xf>
    <xf numFmtId="0" fontId="4" fillId="2" borderId="1" pivotButton="0" quotePrefix="0" xfId="0"/>
    <xf numFmtId="164" fontId="4" fillId="2" borderId="1" pivotButton="0" quotePrefix="0" xfId="0"/>
    <xf numFmtId="165" fontId="4" fillId="2" borderId="1" pivotButton="0" quotePrefix="0" xfId="0"/>
    <xf numFmtId="165" fontId="3" fillId="0" borderId="1" pivotButton="0" quotePrefix="0" xfId="0"/>
    <xf numFmtId="3" fontId="3" fillId="0" borderId="1" pivotButton="0" quotePrefix="0" xfId="0"/>
    <xf numFmtId="0" fontId="3" fillId="0" borderId="1" pivotButton="0" quotePrefix="0" xfId="0"/>
    <xf numFmtId="164" fontId="6" fillId="0" borderId="1" pivotButton="0" quotePrefix="0" xfId="0"/>
    <xf numFmtId="166" fontId="6" fillId="0" borderId="1" pivotButton="0" quotePrefix="0" xfId="0"/>
    <xf numFmtId="3" fontId="6" fillId="0" borderId="1" pivotButton="0" quotePrefix="0" xfId="0"/>
    <xf numFmtId="164" fontId="3" fillId="0" borderId="1" pivotButton="0" quotePrefix="0" xfId="0"/>
    <xf numFmtId="4" fontId="4" fillId="2" borderId="1" pivotButton="0" quotePrefix="0" xfId="0"/>
    <xf numFmtId="167" fontId="6" fillId="0" borderId="1" pivotButton="0" quotePrefix="0" xfId="0"/>
    <xf numFmtId="0" fontId="6" fillId="0" borderId="1" pivotButton="0" quotePrefix="0" xfId="0"/>
    <xf numFmtId="0" fontId="6" fillId="0" borderId="0" pivotButton="0" quotePrefix="0" xfId="0"/>
    <xf numFmtId="165" fontId="6" fillId="0" borderId="1" pivotButton="0" quotePrefix="0" xfId="0"/>
  </cellXfs>
  <cellStyles count="1">
    <cellStyle name="Normal" xfId="0" builtinId="0" hidden="0"/>
  </cellStyles>
  <dxfs count="3">
    <dxf>
      <font>
        <name val="Arial"/>
        <b val="1"/>
        <color rgb="009C0006"/>
        <sz val="10"/>
      </font>
      <fill>
        <patternFill patternType="solid">
          <fgColor rgb="00FFC7CE"/>
        </patternFill>
      </fill>
    </dxf>
    <dxf>
      <font>
        <name val="Arial"/>
        <b val="1"/>
        <color rgb="009C5700"/>
        <sz val="10"/>
      </font>
      <fill>
        <patternFill patternType="solid">
          <fgColor rgb="00FFEB9C"/>
        </patternFill>
      </fill>
    </dxf>
    <dxf>
      <font>
        <name val="Arial"/>
        <b val="1"/>
        <color rgb="009C0006"/>
        <sz val="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harts/chart1.xml><?xml version="1.0" encoding="utf-8"?>
<chartSpace xmlns:a="http://schemas.openxmlformats.org/drawingml/2006/main" xmlns="http://schemas.openxmlformats.org/drawingml/2006/chart">
  <chart>
    <title>
      <tx>
        <rich>
          <a:bodyPr/>
          <a:p>
            <a:pPr>
              <a:defRPr/>
            </a:pPr>
            <a:r>
              <a:t>Annual spend by owner</a:t>
            </a:r>
          </a:p>
        </rich>
      </tx>
    </title>
    <plotArea>
      <barChart>
        <barDir val="col"/>
        <grouping val="clustered"/>
        <ser>
          <idx val="0"/>
          <order val="0"/>
          <tx>
            <strRef>
              <f>'Calendar'!C76</f>
            </strRef>
          </tx>
          <spPr>
            <a:ln>
              <a:prstDash val="solid"/>
            </a:ln>
          </spPr>
          <cat>
            <numRef>
              <f>'Calendar'!$A$77:$A$91</f>
            </numRef>
          </cat>
          <val>
            <numRef>
              <f>'Calendar'!$C$77:$C$91</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a:p>
                <a:pPr>
                  <a:defRPr/>
                </a:pPr>
                <a:r>
                  <a:t>Annual value</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8</col>
      <colOff>0</colOff>
      <row>74</row>
      <rowOff>0</rowOff>
    </from>
    <ext cx="5760000" cy="288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A41"/>
  <sheetViews>
    <sheetView workbookViewId="0">
      <selection activeCell="A1" sqref="A1"/>
    </sheetView>
  </sheetViews>
  <sheetFormatPr baseColWidth="8" defaultRowHeight="15"/>
  <cols>
    <col width="104" customWidth="1" min="1" max="1"/>
  </cols>
  <sheetData>
    <row r="1">
      <c r="A1" s="1" t="inlineStr">
        <is>
          <t>Vendor &amp; Supplier Management</t>
        </is>
      </c>
    </row>
    <row r="2">
      <c r="A2" s="2" t="inlineStr">
        <is>
          <t>Free template from spreadsheet.partners — free for commercial use, no attribution needed.</t>
        </is>
      </c>
    </row>
    <row r="4">
      <c r="A4" s="3" t="inlineStr">
        <is>
          <t>What this workbook is for</t>
        </is>
      </c>
    </row>
    <row r="5">
      <c r="A5" s="4" t="inlineStr">
        <is>
          <t>Making sure contracts are renegotiated rather than auto-renewed by inattention. Everything else here — contacts, invoices, categories — is supporting material for one column: Days left, the countdown to the date you must give notice by. A 60-person company that listed its software contracts for the first time found €28k of annual spend across two vendors whose notice windows had already closed, neither of which was still needed at that size.</t>
        </is>
      </c>
    </row>
    <row r="7">
      <c r="A7" s="3" t="inlineStr">
        <is>
          <t>Why the notice date and not the renewal date</t>
        </is>
      </c>
    </row>
    <row r="8">
      <c r="A8" s="4" t="inlineStr">
        <is>
          <t>The renewal date is not a decision point; it is the day the money leaves. The decision point is the notice deadline, which for a 30-day notice period is a month before the date everybody has in their calendar, and for a payroll or managed-services contract is usually 90 days before. Column E does that subtraction for every row and column F counts down to it. Negative days left means the window has closed and the contract will renew whether you wanted it to or not.</t>
        </is>
      </c>
    </row>
    <row r="10">
      <c r="A10" s="3" t="inlineStr">
        <is>
          <t>Where to find the notice period in a contract</t>
        </is>
      </c>
    </row>
    <row r="11">
      <c r="A11" s="4" t="inlineStr">
        <is>
          <t>Look for the termination or renewal clause, usually near the end, before the signature block. The words to search for are 'notice', 'terminate', 'renewal term' and 'evergreen'. What you want is the number of days and what the notice period counts back from — the renewal date, the anniversary of signature, or the end of the current term, which are not always the same day. Two traps: notice that must be given 'in writing' sometimes means post or a named portal rather than an email to your account manager, and multi-year contracts often have a notice period on each anniversary, not only at the end. If the clause is genuinely unclear, put the shorter reading in column G — being early costs nothing.</t>
        </is>
      </c>
    </row>
    <row r="13">
      <c r="A13" s="3" t="inlineStr">
        <is>
          <t>The three-state flag</t>
        </is>
      </c>
    </row>
    <row r="14">
      <c r="A14" s="4" t="inlineStr">
        <is>
          <t>MISSED, ACT NOW, OK. Thirty days is the default window because that is enough time to run a comparison, get one alternative quote and have the conversation; fewer days is enough only to renew, which is not a decision. Change the window in G3 if your procurement process is slower — a tender needs sixty or ninety. MISSED rows are worth keeping in the list rather than hiding: they are next year's early warnings, and the next notice date is one edit away once the renewal rolls.</t>
        </is>
      </c>
    </row>
    <row r="16">
      <c r="A16" s="3" t="inlineStr">
        <is>
          <t>Who should own a vendor</t>
        </is>
      </c>
    </row>
    <row r="17">
      <c r="A17" s="4" t="inlineStr">
        <is>
          <t>The person who uses it, not procurement. Ownership by the budget holder is what makes a renewal review a real decision rather than a rubber stamp: procurement can run the negotiation, but only the user can say whether the thing is still needed. The by-owner block on the Contracts tab and at the bottom of the Calendar tab exists for one purpose — if one name holds most of the annual spend, ownership is nominal and every review will be a formality.</t>
        </is>
      </c>
    </row>
    <row r="19">
      <c r="A19" s="3" t="inlineStr">
        <is>
          <t>Which columns you type</t>
        </is>
      </c>
    </row>
    <row r="20">
      <c r="A20" s="4" t="inlineStr">
        <is>
          <t>Contracts: A Vendor, B Owner, C Annual, D Renews, G Notice days, J-M, P Decision and Q Notes, plus the two settings in C3 and G3. Vendors: A-K and Q. Spend: A-F and L. Calendar: only the owner names in the lower block — the deadline list is entirely calculated. Yellow means type here, black means leave it alone.</t>
        </is>
      </c>
    </row>
    <row r="22">
      <c r="A22" s="3" t="inlineStr">
        <is>
          <t>Notice days, and the default</t>
        </is>
      </c>
    </row>
    <row r="23">
      <c r="A23" s="4" t="inlineStr">
        <is>
          <t>Column G holds the notice period for that specific contract. Leave it blank and the default in C3 is used, which is 30 days — right for most software subscriptions. Fill it in as soon as you have read the clause: the seeded payroll bureau row carries 90 days, and the long notice periods are exactly the ones that get missed, because they fall due while the renewal still feels far away.</t>
        </is>
      </c>
    </row>
    <row r="25">
      <c r="A25" s="3" t="inlineStr">
        <is>
          <t>The Calendar tab sorts itself</t>
        </is>
      </c>
    </row>
    <row r="26">
      <c r="A26" s="4" t="inlineStr">
        <is>
          <t>Google Sheets has SORT and Excel 2016 does not, so the Contracts tab carries a rank by notice date in column R — tie-broken, so two contracts with the same deadline do not fight over one place — and the Calendar pulls row n with INDEX and MATCH. It shows the next fifty deadlines, updates the moment a contract is added, and needs no refreshing in either application.</t>
        </is>
      </c>
    </row>
    <row r="28">
      <c r="A28" s="3" t="inlineStr">
        <is>
          <t>Making it remind you</t>
        </is>
      </c>
    </row>
    <row r="29">
      <c r="A29" s="4" t="inlineStr">
        <is>
          <t>The countdown only counts down for somebody who opens the file. In Google Sheets, a time-driven Apps Script trigger that emails each owner the rows where Days left equals 60 or 30 turns this from a list into a process, and it is about twenty lines of script — the highest-return automation on this page. In Excel, the low-tech equivalent is a recurring monthly calendar entry to open the Calendar tab and read the top ten rows.</t>
        </is>
      </c>
    </row>
    <row r="31">
      <c r="A31" s="3" t="inlineStr">
        <is>
          <t>Spend against contract</t>
        </is>
      </c>
    </row>
    <row r="32">
      <c r="A32" s="4" t="inlineStr">
        <is>
          <t>The Spend tab is where invoices go, keyed on the same vendor name. Invoiced to date beside the contracted annual value answers the question that renewal conversations turn on: are we actually consuming what we committed to? Usage-based contracts routinely invoice 15-20% above the tier, and seat-based ones routinely invoice for seats nobody has logged into. The check column flags an invoice from a vendor that has no contract row, which is either an untracked contract or a misspelt name.</t>
        </is>
      </c>
    </row>
    <row r="34">
      <c r="A34" s="3" t="inlineStr">
        <is>
          <t>Reproducing the page's example</t>
        </is>
      </c>
    </row>
    <row r="35">
      <c r="A35" s="4" t="inlineStr">
        <is>
          <t>The four seeded contracts are the ones on the template page, with notice periods of 30, 30, 30 and 90 days. Read on 2026-08-28 they show 35, -12, 105 and -56 days left; read today they show whatever today makes them, because Days left is measured against TODAY(). The two negative rows are the €28.4k of auto-renewals in the worked example.</t>
        </is>
      </c>
    </row>
    <row r="37">
      <c r="A37" s="3" t="inlineStr">
        <is>
          <t>Ranges</t>
        </is>
      </c>
    </row>
    <row r="38">
      <c r="A38" s="4" t="inlineStr">
        <is>
          <t>Contracts and Spend cover rows 5-204, Vendors 5-104, and the Calendar lists 50 deadlines. Insert rows inside those ranges rather than typing below them, or the summaries will not see the new data. The vendor name is the key every lookup uses, so it must be spelt identically on Contracts, Vendors and Spend. Percentages are stored as fractions: 0.15 displays as 15.0%.</t>
        </is>
      </c>
    </row>
    <row r="41">
      <c r="A41"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Y204"/>
  <sheetViews>
    <sheetView workbookViewId="0">
      <pane ySplit="4" topLeftCell="A5" activePane="bottomLeft" state="frozen"/>
      <selection pane="bottomLeft" activeCell="A1" sqref="A1"/>
    </sheetView>
  </sheetViews>
  <sheetFormatPr baseColWidth="8" defaultRowHeight="15"/>
  <cols>
    <col width="20" customWidth="1" min="1" max="1"/>
    <col width="14" customWidth="1" min="2" max="2"/>
    <col width="12" customWidth="1" min="3" max="3"/>
    <col width="12" customWidth="1" min="4" max="4"/>
    <col width="12" customWidth="1" min="5" max="5"/>
    <col width="10" customWidth="1" min="6" max="6"/>
    <col width="10" customWidth="1" min="7" max="7"/>
    <col width="11" customWidth="1" min="8" max="8"/>
    <col width="14" customWidth="1" min="9" max="9"/>
    <col width="17" customWidth="1" min="10" max="10"/>
    <col width="11" customWidth="1" min="11" max="11"/>
    <col width="12" customWidth="1" min="12" max="12"/>
    <col width="12" customWidth="1" min="13" max="13"/>
    <col width="13" customWidth="1" min="14" max="14"/>
    <col width="13" customWidth="1" min="15" max="15"/>
    <col width="13" customWidth="1" min="16" max="16"/>
    <col width="44" customWidth="1" min="17" max="17"/>
    <col width="11" customWidth="1" min="18" max="18"/>
    <col width="16" customWidth="1" min="20" max="20"/>
    <col width="10" customWidth="1" min="21" max="21"/>
    <col width="13" customWidth="1" min="22" max="22"/>
    <col width="9" customWidth="1" min="23" max="23"/>
    <col width="9" customWidth="1" min="24" max="24"/>
    <col width="9" customWidth="1" min="25" max="25"/>
  </cols>
  <sheetData>
    <row r="1">
      <c r="A1" s="1" t="inlineStr">
        <is>
          <t>Contracts</t>
        </is>
      </c>
    </row>
    <row r="2">
      <c r="A2" s="2" t="inlineStr">
        <is>
          <t>One row per contract. Type A-D, G and J-Q; E, F, H, I, N, O and R are calculated. The two dates that matter are Renews, which you type, and Notice by, which you do not.</t>
        </is>
      </c>
    </row>
    <row r="3">
      <c r="A3" s="3" t="inlineStr">
        <is>
          <t>Default notice period (days)</t>
        </is>
      </c>
      <c r="C3" s="6" t="n">
        <v>30</v>
      </c>
      <c r="E3" s="3" t="inlineStr">
        <is>
          <t>Act-now window (days)</t>
        </is>
      </c>
      <c r="G3" s="6" t="n">
        <v>30</v>
      </c>
      <c r="I3" s="2" t="inlineStr">
        <is>
          <t>Column G overrides the default per contract. Thirty days is enough to run a comparison; less is enough only to renew.</t>
        </is>
      </c>
    </row>
    <row r="4">
      <c r="A4" s="7" t="inlineStr">
        <is>
          <t>Vendor</t>
        </is>
      </c>
      <c r="B4" s="7" t="inlineStr">
        <is>
          <t>Owner</t>
        </is>
      </c>
      <c r="C4" s="7" t="inlineStr">
        <is>
          <t>Annual</t>
        </is>
      </c>
      <c r="D4" s="7" t="inlineStr">
        <is>
          <t>Renews</t>
        </is>
      </c>
      <c r="E4" s="7" t="inlineStr">
        <is>
          <t>Notice by</t>
        </is>
      </c>
      <c r="F4" s="7" t="inlineStr">
        <is>
          <t>Days left</t>
        </is>
      </c>
      <c r="G4" s="7" t="inlineStr">
        <is>
          <t>Notice days</t>
        </is>
      </c>
      <c r="H4" s="7" t="inlineStr">
        <is>
          <t>Status</t>
        </is>
      </c>
      <c r="I4" s="7" t="inlineStr">
        <is>
          <t>Owner annual spend</t>
        </is>
      </c>
      <c r="J4" s="7" t="inlineStr">
        <is>
          <t>Category</t>
        </is>
      </c>
      <c r="K4" s="7" t="inlineStr">
        <is>
          <t>Auto-renews</t>
        </is>
      </c>
      <c r="L4" s="7" t="inlineStr">
        <is>
          <t>Term</t>
        </is>
      </c>
      <c r="M4" s="7" t="inlineStr">
        <is>
          <t>Started</t>
        </is>
      </c>
      <c r="N4" s="7" t="inlineStr">
        <is>
          <t>Invoiced to date</t>
        </is>
      </c>
      <c r="O4" s="7" t="inlineStr">
        <is>
          <t>Invoiced vs annual</t>
        </is>
      </c>
      <c r="P4" s="7" t="inlineStr">
        <is>
          <t>Decision</t>
        </is>
      </c>
      <c r="Q4" s="7" t="inlineStr">
        <is>
          <t>Notes</t>
        </is>
      </c>
      <c r="R4" s="7" t="inlineStr">
        <is>
          <t>Notice order</t>
        </is>
      </c>
      <c r="T4" s="7" t="inlineStr">
        <is>
          <t>Owner</t>
        </is>
      </c>
      <c r="U4" s="7" t="inlineStr">
        <is>
          <t>Contracts</t>
        </is>
      </c>
      <c r="V4" s="7" t="inlineStr">
        <is>
          <t>Annual spend</t>
        </is>
      </c>
      <c r="W4" s="7" t="inlineStr">
        <is>
          <t>Share</t>
        </is>
      </c>
      <c r="X4" s="7" t="inlineStr">
        <is>
          <t>Missed</t>
        </is>
      </c>
      <c r="Y4" s="7" t="inlineStr">
        <is>
          <t>Act now</t>
        </is>
      </c>
    </row>
    <row r="5">
      <c r="A5" s="8" t="inlineStr">
        <is>
          <t>Cloud host</t>
        </is>
      </c>
      <c r="B5" s="8" t="inlineStr">
        <is>
          <t>K. Owens</t>
        </is>
      </c>
      <c r="C5" s="9" t="n">
        <v>42000</v>
      </c>
      <c r="D5" s="10" t="n">
        <v>46327</v>
      </c>
      <c r="E5" s="11">
        <f>IF($A5="","",IF($D5="","",$D5-IF($G5="",Contracts!$C$3,$G5)))</f>
        <v/>
      </c>
      <c r="F5" s="12">
        <f>IF($E5="","",$E5-TODAY())</f>
        <v/>
      </c>
      <c r="G5" s="6" t="n">
        <v>30</v>
      </c>
      <c r="H5" s="13">
        <f>IF($A5="","",IF($F5="","",IF($F5&lt;0,"MISSED",IF($F5&lt;Contracts!$G$3,"ACT NOW","OK"))))</f>
        <v/>
      </c>
      <c r="I5" s="14">
        <f>IF($B5="","",SUMIFS(Contracts!$C$5:$C$204,Contracts!$B$5:$B$204,$B5))</f>
        <v/>
      </c>
      <c r="J5" s="8" t="inlineStr">
        <is>
          <t>Infrastructure</t>
        </is>
      </c>
      <c r="K5" s="8" t="inlineStr">
        <is>
          <t>Yes</t>
        </is>
      </c>
      <c r="L5" s="8" t="inlineStr">
        <is>
          <t>Annual</t>
        </is>
      </c>
      <c r="M5" s="10" t="n">
        <v>45962</v>
      </c>
      <c r="N5" s="14">
        <f>IF($A5="","",SUMIFS(Spend!$E$5:$E$204,Spend!$B$5:$B$204,$A5))</f>
        <v/>
      </c>
      <c r="O5" s="15">
        <f>IF($A5="","",IFERROR($N5/$C5,0))</f>
        <v/>
      </c>
      <c r="P5" s="8" t="inlineStr">
        <is>
          <t>Renegotiate</t>
        </is>
      </c>
      <c r="Q5" s="8" t="inlineStr">
        <is>
          <t>Committed spend tier — check the usage before renewing</t>
        </is>
      </c>
      <c r="R5" s="16">
        <f>IF($E5="","",COUNTIFS($E$5:$E$204,"&lt;"&amp;$E5)+COUNTIF($E$5:$E5,$E5))</f>
        <v/>
      </c>
      <c r="T5" s="8" t="inlineStr">
        <is>
          <t>K. Owens</t>
        </is>
      </c>
      <c r="U5" s="16">
        <f>IF($T5="","",COUNTIFS(Contracts!$B$5:$B$204,$T5))</f>
        <v/>
      </c>
      <c r="V5" s="17">
        <f>IF($T5="","",SUMIFS(Contracts!$C$5:$C$204,Contracts!$B$5:$B$204,$T5))</f>
        <v/>
      </c>
      <c r="W5" s="15">
        <f>IF($T5="","",IFERROR(SUMIFS(Contracts!$C$5:$C$204,Contracts!$B$5:$B$204,$T5)/SUM(Contracts!$C$5:$C$204),0))</f>
        <v/>
      </c>
      <c r="X5" s="16">
        <f>IF($T5="","",COUNTIFS(Contracts!$B$5:$B$204,$T5,Contracts!$H$5:$H$204,"MISSED"))</f>
        <v/>
      </c>
      <c r="Y5" s="16">
        <f>IF($T5="","",COUNTIFS(Contracts!$B$5:$B$204,$T5,Contracts!$H$5:$H$204,"ACT NOW"))</f>
        <v/>
      </c>
    </row>
    <row r="6">
      <c r="A6" s="8" t="inlineStr">
        <is>
          <t>CRM licence</t>
        </is>
      </c>
      <c r="B6" s="8" t="inlineStr">
        <is>
          <t>A. Duval</t>
        </is>
      </c>
      <c r="C6" s="9" t="n">
        <v>18600</v>
      </c>
      <c r="D6" s="10" t="n">
        <v>46280</v>
      </c>
      <c r="E6" s="11">
        <f>IF($A6="","",IF($D6="","",$D6-IF($G6="",Contracts!$C$3,$G6)))</f>
        <v/>
      </c>
      <c r="F6" s="12">
        <f>IF($E6="","",$E6-TODAY())</f>
        <v/>
      </c>
      <c r="G6" s="6" t="n">
        <v>30</v>
      </c>
      <c r="H6" s="13">
        <f>IF($A6="","",IF($F6="","",IF($F6&lt;0,"MISSED",IF($F6&lt;Contracts!$G$3,"ACT NOW","OK"))))</f>
        <v/>
      </c>
      <c r="I6" s="14">
        <f>IF($B6="","",SUMIFS(Contracts!$C$5:$C$204,Contracts!$B$5:$B$204,$B6))</f>
        <v/>
      </c>
      <c r="J6" s="8" t="inlineStr">
        <is>
          <t>Sales software</t>
        </is>
      </c>
      <c r="K6" s="8" t="inlineStr">
        <is>
          <t>Yes</t>
        </is>
      </c>
      <c r="L6" s="8" t="inlineStr">
        <is>
          <t>Annual</t>
        </is>
      </c>
      <c r="M6" s="10" t="n">
        <v>45915</v>
      </c>
      <c r="N6" s="14">
        <f>IF($A6="","",SUMIFS(Spend!$E$5:$E$204,Spend!$B$5:$B$204,$A6))</f>
        <v/>
      </c>
      <c r="O6" s="15">
        <f>IF($A6="","",IFERROR($N6/$C6,0))</f>
        <v/>
      </c>
      <c r="P6" s="8" t="inlineStr">
        <is>
          <t>Undecided</t>
        </is>
      </c>
      <c r="Q6" s="8" t="inlineStr">
        <is>
          <t>Window closed: this one renews whether we wanted it or not</t>
        </is>
      </c>
      <c r="R6" s="16">
        <f>IF($E6="","",COUNTIFS($E$5:$E$204,"&lt;"&amp;$E6)+COUNTIF($E$5:$E6,$E6))</f>
        <v/>
      </c>
      <c r="T6" s="8" t="inlineStr">
        <is>
          <t>A. Duval</t>
        </is>
      </c>
      <c r="U6" s="16">
        <f>IF($T6="","",COUNTIFS(Contracts!$B$5:$B$204,$T6))</f>
        <v/>
      </c>
      <c r="V6" s="17">
        <f>IF($T6="","",SUMIFS(Contracts!$C$5:$C$204,Contracts!$B$5:$B$204,$T6))</f>
        <v/>
      </c>
      <c r="W6" s="15">
        <f>IF($T6="","",IFERROR(SUMIFS(Contracts!$C$5:$C$204,Contracts!$B$5:$B$204,$T6)/SUM(Contracts!$C$5:$C$204),0))</f>
        <v/>
      </c>
      <c r="X6" s="16">
        <f>IF($T6="","",COUNTIFS(Contracts!$B$5:$B$204,$T6,Contracts!$H$5:$H$204,"MISSED"))</f>
        <v/>
      </c>
      <c r="Y6" s="16">
        <f>IF($T6="","",COUNTIFS(Contracts!$B$5:$B$204,$T6,Contracts!$H$5:$H$204,"ACT NOW"))</f>
        <v/>
      </c>
    </row>
    <row r="7">
      <c r="A7" s="8" t="inlineStr">
        <is>
          <t>Design tools</t>
        </is>
      </c>
      <c r="B7" s="8" t="inlineStr">
        <is>
          <t>S. Novak</t>
        </is>
      </c>
      <c r="C7" s="9" t="n">
        <v>4200</v>
      </c>
      <c r="D7" s="10" t="n">
        <v>46397</v>
      </c>
      <c r="E7" s="11">
        <f>IF($A7="","",IF($D7="","",$D7-IF($G7="",Contracts!$C$3,$G7)))</f>
        <v/>
      </c>
      <c r="F7" s="12">
        <f>IF($E7="","",$E7-TODAY())</f>
        <v/>
      </c>
      <c r="G7" s="6" t="n">
        <v>30</v>
      </c>
      <c r="H7" s="13">
        <f>IF($A7="","",IF($F7="","",IF($F7&lt;0,"MISSED",IF($F7&lt;Contracts!$G$3,"ACT NOW","OK"))))</f>
        <v/>
      </c>
      <c r="I7" s="14">
        <f>IF($B7="","",SUMIFS(Contracts!$C$5:$C$204,Contracts!$B$5:$B$204,$B7))</f>
        <v/>
      </c>
      <c r="J7" s="8" t="inlineStr">
        <is>
          <t>Design software</t>
        </is>
      </c>
      <c r="K7" s="8" t="inlineStr">
        <is>
          <t>Yes</t>
        </is>
      </c>
      <c r="L7" s="8" t="inlineStr">
        <is>
          <t>Annual</t>
        </is>
      </c>
      <c r="M7" s="10" t="n">
        <v>46032</v>
      </c>
      <c r="N7" s="14">
        <f>IF($A7="","",SUMIFS(Spend!$E$5:$E$204,Spend!$B$5:$B$204,$A7))</f>
        <v/>
      </c>
      <c r="O7" s="15">
        <f>IF($A7="","",IFERROR($N7/$C7,0))</f>
        <v/>
      </c>
      <c r="P7" s="8" t="inlineStr">
        <is>
          <t>Renew</t>
        </is>
      </c>
      <c r="Q7" s="8" t="inlineStr">
        <is>
          <t>Per-seat — count the seats actually used</t>
        </is>
      </c>
      <c r="R7" s="16">
        <f>IF($E7="","",COUNTIFS($E$5:$E$204,"&lt;"&amp;$E7)+COUNTIF($E$5:$E7,$E7))</f>
        <v/>
      </c>
      <c r="T7" s="8" t="inlineStr">
        <is>
          <t>S. Novak</t>
        </is>
      </c>
      <c r="U7" s="16">
        <f>IF($T7="","",COUNTIFS(Contracts!$B$5:$B$204,$T7))</f>
        <v/>
      </c>
      <c r="V7" s="17">
        <f>IF($T7="","",SUMIFS(Contracts!$C$5:$C$204,Contracts!$B$5:$B$204,$T7))</f>
        <v/>
      </c>
      <c r="W7" s="15">
        <f>IF($T7="","",IFERROR(SUMIFS(Contracts!$C$5:$C$204,Contracts!$B$5:$B$204,$T7)/SUM(Contracts!$C$5:$C$204),0))</f>
        <v/>
      </c>
      <c r="X7" s="16">
        <f>IF($T7="","",COUNTIFS(Contracts!$B$5:$B$204,$T7,Contracts!$H$5:$H$204,"MISSED"))</f>
        <v/>
      </c>
      <c r="Y7" s="16">
        <f>IF($T7="","",COUNTIFS(Contracts!$B$5:$B$204,$T7,Contracts!$H$5:$H$204,"ACT NOW"))</f>
        <v/>
      </c>
    </row>
    <row r="8">
      <c r="A8" s="8" t="inlineStr">
        <is>
          <t>Payroll bureau</t>
        </is>
      </c>
      <c r="B8" s="8" t="inlineStr">
        <is>
          <t>M. Ferrer</t>
        </is>
      </c>
      <c r="C8" s="9" t="n">
        <v>9800</v>
      </c>
      <c r="D8" s="10" t="n">
        <v>46296</v>
      </c>
      <c r="E8" s="11">
        <f>IF($A8="","",IF($D8="","",$D8-IF($G8="",Contracts!$C$3,$G8)))</f>
        <v/>
      </c>
      <c r="F8" s="12">
        <f>IF($E8="","",$E8-TODAY())</f>
        <v/>
      </c>
      <c r="G8" s="6" t="n">
        <v>90</v>
      </c>
      <c r="H8" s="13">
        <f>IF($A8="","",IF($F8="","",IF($F8&lt;0,"MISSED",IF($F8&lt;Contracts!$G$3,"ACT NOW","OK"))))</f>
        <v/>
      </c>
      <c r="I8" s="14">
        <f>IF($B8="","",SUMIFS(Contracts!$C$5:$C$204,Contracts!$B$5:$B$204,$B8))</f>
        <v/>
      </c>
      <c r="J8" s="8" t="inlineStr">
        <is>
          <t>Finance services</t>
        </is>
      </c>
      <c r="K8" s="8" t="inlineStr">
        <is>
          <t>Yes</t>
        </is>
      </c>
      <c r="L8" s="8" t="inlineStr">
        <is>
          <t>Annual</t>
        </is>
      </c>
      <c r="M8" s="10" t="n">
        <v>45931</v>
      </c>
      <c r="N8" s="14">
        <f>IF($A8="","",SUMIFS(Spend!$E$5:$E$204,Spend!$B$5:$B$204,$A8))</f>
        <v/>
      </c>
      <c r="O8" s="15">
        <f>IF($A8="","",IFERROR($N8/$C8,0))</f>
        <v/>
      </c>
      <c r="P8" s="8" t="inlineStr">
        <is>
          <t>Undecided</t>
        </is>
      </c>
      <c r="Q8" s="8" t="inlineStr">
        <is>
          <t>Ninety days' notice — the long ones are the ones that get missed</t>
        </is>
      </c>
      <c r="R8" s="16">
        <f>IF($E8="","",COUNTIFS($E$5:$E$204,"&lt;"&amp;$E8)+COUNTIF($E$5:$E8,$E8))</f>
        <v/>
      </c>
      <c r="T8" s="8" t="inlineStr">
        <is>
          <t>M. Ferrer</t>
        </is>
      </c>
      <c r="U8" s="16">
        <f>IF($T8="","",COUNTIFS(Contracts!$B$5:$B$204,$T8))</f>
        <v/>
      </c>
      <c r="V8" s="17">
        <f>IF($T8="","",SUMIFS(Contracts!$C$5:$C$204,Contracts!$B$5:$B$204,$T8))</f>
        <v/>
      </c>
      <c r="W8" s="15">
        <f>IF($T8="","",IFERROR(SUMIFS(Contracts!$C$5:$C$204,Contracts!$B$5:$B$204,$T8)/SUM(Contracts!$C$5:$C$204),0))</f>
        <v/>
      </c>
      <c r="X8" s="16">
        <f>IF($T8="","",COUNTIFS(Contracts!$B$5:$B$204,$T8,Contracts!$H$5:$H$204,"MISSED"))</f>
        <v/>
      </c>
      <c r="Y8" s="16">
        <f>IF($T8="","",COUNTIFS(Contracts!$B$5:$B$204,$T8,Contracts!$H$5:$H$204,"ACT NOW"))</f>
        <v/>
      </c>
    </row>
    <row r="9">
      <c r="A9" s="8" t="n"/>
      <c r="B9" s="8" t="n"/>
      <c r="C9" s="9" t="n"/>
      <c r="D9" s="10" t="n"/>
      <c r="E9" s="11">
        <f>IF($A9="","",IF($D9="","",$D9-IF($G9="",Contracts!$C$3,$G9)))</f>
        <v/>
      </c>
      <c r="F9" s="12">
        <f>IF($E9="","",$E9-TODAY())</f>
        <v/>
      </c>
      <c r="G9" s="6" t="n"/>
      <c r="H9" s="13">
        <f>IF($A9="","",IF($F9="","",IF($F9&lt;0,"MISSED",IF($F9&lt;Contracts!$G$3,"ACT NOW","OK"))))</f>
        <v/>
      </c>
      <c r="I9" s="14">
        <f>IF($B9="","",SUMIFS(Contracts!$C$5:$C$204,Contracts!$B$5:$B$204,$B9))</f>
        <v/>
      </c>
      <c r="J9" s="8" t="n"/>
      <c r="K9" s="8" t="n"/>
      <c r="L9" s="8" t="n"/>
      <c r="M9" s="10" t="n"/>
      <c r="N9" s="14">
        <f>IF($A9="","",SUMIFS(Spend!$E$5:$E$204,Spend!$B$5:$B$204,$A9))</f>
        <v/>
      </c>
      <c r="O9" s="15">
        <f>IF($A9="","",IFERROR($N9/$C9,0))</f>
        <v/>
      </c>
      <c r="P9" s="8" t="n"/>
      <c r="Q9" s="8" t="n"/>
      <c r="R9" s="16">
        <f>IF($E9="","",COUNTIFS($E$5:$E$204,"&lt;"&amp;$E9)+COUNTIF($E$5:$E9,$E9))</f>
        <v/>
      </c>
      <c r="T9" s="8" t="n"/>
      <c r="U9" s="16">
        <f>IF($T9="","",COUNTIFS(Contracts!$B$5:$B$204,$T9))</f>
        <v/>
      </c>
      <c r="V9" s="17">
        <f>IF($T9="","",SUMIFS(Contracts!$C$5:$C$204,Contracts!$B$5:$B$204,$T9))</f>
        <v/>
      </c>
      <c r="W9" s="15">
        <f>IF($T9="","",IFERROR(SUMIFS(Contracts!$C$5:$C$204,Contracts!$B$5:$B$204,$T9)/SUM(Contracts!$C$5:$C$204),0))</f>
        <v/>
      </c>
      <c r="X9" s="16">
        <f>IF($T9="","",COUNTIFS(Contracts!$B$5:$B$204,$T9,Contracts!$H$5:$H$204,"MISSED"))</f>
        <v/>
      </c>
      <c r="Y9" s="16">
        <f>IF($T9="","",COUNTIFS(Contracts!$B$5:$B$204,$T9,Contracts!$H$5:$H$204,"ACT NOW"))</f>
        <v/>
      </c>
    </row>
    <row r="10">
      <c r="A10" s="8" t="n"/>
      <c r="B10" s="8" t="n"/>
      <c r="C10" s="9" t="n"/>
      <c r="D10" s="10" t="n"/>
      <c r="E10" s="11">
        <f>IF($A10="","",IF($D10="","",$D10-IF($G10="",Contracts!$C$3,$G10)))</f>
        <v/>
      </c>
      <c r="F10" s="12">
        <f>IF($E10="","",$E10-TODAY())</f>
        <v/>
      </c>
      <c r="G10" s="6" t="n"/>
      <c r="H10" s="13">
        <f>IF($A10="","",IF($F10="","",IF($F10&lt;0,"MISSED",IF($F10&lt;Contracts!$G$3,"ACT NOW","OK"))))</f>
        <v/>
      </c>
      <c r="I10" s="14">
        <f>IF($B10="","",SUMIFS(Contracts!$C$5:$C$204,Contracts!$B$5:$B$204,$B10))</f>
        <v/>
      </c>
      <c r="J10" s="8" t="n"/>
      <c r="K10" s="8" t="n"/>
      <c r="L10" s="8" t="n"/>
      <c r="M10" s="10" t="n"/>
      <c r="N10" s="14">
        <f>IF($A10="","",SUMIFS(Spend!$E$5:$E$204,Spend!$B$5:$B$204,$A10))</f>
        <v/>
      </c>
      <c r="O10" s="15">
        <f>IF($A10="","",IFERROR($N10/$C10,0))</f>
        <v/>
      </c>
      <c r="P10" s="8" t="n"/>
      <c r="Q10" s="8" t="n"/>
      <c r="R10" s="16">
        <f>IF($E10="","",COUNTIFS($E$5:$E$204,"&lt;"&amp;$E10)+COUNTIF($E$5:$E10,$E10))</f>
        <v/>
      </c>
      <c r="T10" s="8" t="n"/>
      <c r="U10" s="16">
        <f>IF($T10="","",COUNTIFS(Contracts!$B$5:$B$204,$T10))</f>
        <v/>
      </c>
      <c r="V10" s="17">
        <f>IF($T10="","",SUMIFS(Contracts!$C$5:$C$204,Contracts!$B$5:$B$204,$T10))</f>
        <v/>
      </c>
      <c r="W10" s="15">
        <f>IF($T10="","",IFERROR(SUMIFS(Contracts!$C$5:$C$204,Contracts!$B$5:$B$204,$T10)/SUM(Contracts!$C$5:$C$204),0))</f>
        <v/>
      </c>
      <c r="X10" s="16">
        <f>IF($T10="","",COUNTIFS(Contracts!$B$5:$B$204,$T10,Contracts!$H$5:$H$204,"MISSED"))</f>
        <v/>
      </c>
      <c r="Y10" s="16">
        <f>IF($T10="","",COUNTIFS(Contracts!$B$5:$B$204,$T10,Contracts!$H$5:$H$204,"ACT NOW"))</f>
        <v/>
      </c>
    </row>
    <row r="11">
      <c r="A11" s="8" t="n"/>
      <c r="B11" s="8" t="n"/>
      <c r="C11" s="9" t="n"/>
      <c r="D11" s="10" t="n"/>
      <c r="E11" s="11">
        <f>IF($A11="","",IF($D11="","",$D11-IF($G11="",Contracts!$C$3,$G11)))</f>
        <v/>
      </c>
      <c r="F11" s="12">
        <f>IF($E11="","",$E11-TODAY())</f>
        <v/>
      </c>
      <c r="G11" s="6" t="n"/>
      <c r="H11" s="13">
        <f>IF($A11="","",IF($F11="","",IF($F11&lt;0,"MISSED",IF($F11&lt;Contracts!$G$3,"ACT NOW","OK"))))</f>
        <v/>
      </c>
      <c r="I11" s="14">
        <f>IF($B11="","",SUMIFS(Contracts!$C$5:$C$204,Contracts!$B$5:$B$204,$B11))</f>
        <v/>
      </c>
      <c r="J11" s="8" t="n"/>
      <c r="K11" s="8" t="n"/>
      <c r="L11" s="8" t="n"/>
      <c r="M11" s="10" t="n"/>
      <c r="N11" s="14">
        <f>IF($A11="","",SUMIFS(Spend!$E$5:$E$204,Spend!$B$5:$B$204,$A11))</f>
        <v/>
      </c>
      <c r="O11" s="15">
        <f>IF($A11="","",IFERROR($N11/$C11,0))</f>
        <v/>
      </c>
      <c r="P11" s="8" t="n"/>
      <c r="Q11" s="8" t="n"/>
      <c r="R11" s="16">
        <f>IF($E11="","",COUNTIFS($E$5:$E$204,"&lt;"&amp;$E11)+COUNTIF($E$5:$E11,$E11))</f>
        <v/>
      </c>
      <c r="T11" s="8" t="n"/>
      <c r="U11" s="16">
        <f>IF($T11="","",COUNTIFS(Contracts!$B$5:$B$204,$T11))</f>
        <v/>
      </c>
      <c r="V11" s="17">
        <f>IF($T11="","",SUMIFS(Contracts!$C$5:$C$204,Contracts!$B$5:$B$204,$T11))</f>
        <v/>
      </c>
      <c r="W11" s="15">
        <f>IF($T11="","",IFERROR(SUMIFS(Contracts!$C$5:$C$204,Contracts!$B$5:$B$204,$T11)/SUM(Contracts!$C$5:$C$204),0))</f>
        <v/>
      </c>
      <c r="X11" s="16">
        <f>IF($T11="","",COUNTIFS(Contracts!$B$5:$B$204,$T11,Contracts!$H$5:$H$204,"MISSED"))</f>
        <v/>
      </c>
      <c r="Y11" s="16">
        <f>IF($T11="","",COUNTIFS(Contracts!$B$5:$B$204,$T11,Contracts!$H$5:$H$204,"ACT NOW"))</f>
        <v/>
      </c>
    </row>
    <row r="12">
      <c r="A12" s="8" t="n"/>
      <c r="B12" s="8" t="n"/>
      <c r="C12" s="9" t="n"/>
      <c r="D12" s="10" t="n"/>
      <c r="E12" s="11">
        <f>IF($A12="","",IF($D12="","",$D12-IF($G12="",Contracts!$C$3,$G12)))</f>
        <v/>
      </c>
      <c r="F12" s="12">
        <f>IF($E12="","",$E12-TODAY())</f>
        <v/>
      </c>
      <c r="G12" s="6" t="n"/>
      <c r="H12" s="13">
        <f>IF($A12="","",IF($F12="","",IF($F12&lt;0,"MISSED",IF($F12&lt;Contracts!$G$3,"ACT NOW","OK"))))</f>
        <v/>
      </c>
      <c r="I12" s="14">
        <f>IF($B12="","",SUMIFS(Contracts!$C$5:$C$204,Contracts!$B$5:$B$204,$B12))</f>
        <v/>
      </c>
      <c r="J12" s="8" t="n"/>
      <c r="K12" s="8" t="n"/>
      <c r="L12" s="8" t="n"/>
      <c r="M12" s="10" t="n"/>
      <c r="N12" s="14">
        <f>IF($A12="","",SUMIFS(Spend!$E$5:$E$204,Spend!$B$5:$B$204,$A12))</f>
        <v/>
      </c>
      <c r="O12" s="15">
        <f>IF($A12="","",IFERROR($N12/$C12,0))</f>
        <v/>
      </c>
      <c r="P12" s="8" t="n"/>
      <c r="Q12" s="8" t="n"/>
      <c r="R12" s="16">
        <f>IF($E12="","",COUNTIFS($E$5:$E$204,"&lt;"&amp;$E12)+COUNTIF($E$5:$E12,$E12))</f>
        <v/>
      </c>
      <c r="T12" s="8" t="n"/>
      <c r="U12" s="16">
        <f>IF($T12="","",COUNTIFS(Contracts!$B$5:$B$204,$T12))</f>
        <v/>
      </c>
      <c r="V12" s="17">
        <f>IF($T12="","",SUMIFS(Contracts!$C$5:$C$204,Contracts!$B$5:$B$204,$T12))</f>
        <v/>
      </c>
      <c r="W12" s="15">
        <f>IF($T12="","",IFERROR(SUMIFS(Contracts!$C$5:$C$204,Contracts!$B$5:$B$204,$T12)/SUM(Contracts!$C$5:$C$204),0))</f>
        <v/>
      </c>
      <c r="X12" s="16">
        <f>IF($T12="","",COUNTIFS(Contracts!$B$5:$B$204,$T12,Contracts!$H$5:$H$204,"MISSED"))</f>
        <v/>
      </c>
      <c r="Y12" s="16">
        <f>IF($T12="","",COUNTIFS(Contracts!$B$5:$B$204,$T12,Contracts!$H$5:$H$204,"ACT NOW"))</f>
        <v/>
      </c>
    </row>
    <row r="13">
      <c r="A13" s="8" t="n"/>
      <c r="B13" s="8" t="n"/>
      <c r="C13" s="9" t="n"/>
      <c r="D13" s="10" t="n"/>
      <c r="E13" s="11">
        <f>IF($A13="","",IF($D13="","",$D13-IF($G13="",Contracts!$C$3,$G13)))</f>
        <v/>
      </c>
      <c r="F13" s="12">
        <f>IF($E13="","",$E13-TODAY())</f>
        <v/>
      </c>
      <c r="G13" s="6" t="n"/>
      <c r="H13" s="13">
        <f>IF($A13="","",IF($F13="","",IF($F13&lt;0,"MISSED",IF($F13&lt;Contracts!$G$3,"ACT NOW","OK"))))</f>
        <v/>
      </c>
      <c r="I13" s="14">
        <f>IF($B13="","",SUMIFS(Contracts!$C$5:$C$204,Contracts!$B$5:$B$204,$B13))</f>
        <v/>
      </c>
      <c r="J13" s="8" t="n"/>
      <c r="K13" s="8" t="n"/>
      <c r="L13" s="8" t="n"/>
      <c r="M13" s="10" t="n"/>
      <c r="N13" s="14">
        <f>IF($A13="","",SUMIFS(Spend!$E$5:$E$204,Spend!$B$5:$B$204,$A13))</f>
        <v/>
      </c>
      <c r="O13" s="15">
        <f>IF($A13="","",IFERROR($N13/$C13,0))</f>
        <v/>
      </c>
      <c r="P13" s="8" t="n"/>
      <c r="Q13" s="8" t="n"/>
      <c r="R13" s="16">
        <f>IF($E13="","",COUNTIFS($E$5:$E$204,"&lt;"&amp;$E13)+COUNTIF($E$5:$E13,$E13))</f>
        <v/>
      </c>
      <c r="T13" s="8" t="n"/>
      <c r="U13" s="16">
        <f>IF($T13="","",COUNTIFS(Contracts!$B$5:$B$204,$T13))</f>
        <v/>
      </c>
      <c r="V13" s="17">
        <f>IF($T13="","",SUMIFS(Contracts!$C$5:$C$204,Contracts!$B$5:$B$204,$T13))</f>
        <v/>
      </c>
      <c r="W13" s="15">
        <f>IF($T13="","",IFERROR(SUMIFS(Contracts!$C$5:$C$204,Contracts!$B$5:$B$204,$T13)/SUM(Contracts!$C$5:$C$204),0))</f>
        <v/>
      </c>
      <c r="X13" s="16">
        <f>IF($T13="","",COUNTIFS(Contracts!$B$5:$B$204,$T13,Contracts!$H$5:$H$204,"MISSED"))</f>
        <v/>
      </c>
      <c r="Y13" s="16">
        <f>IF($T13="","",COUNTIFS(Contracts!$B$5:$B$204,$T13,Contracts!$H$5:$H$204,"ACT NOW"))</f>
        <v/>
      </c>
    </row>
    <row r="14">
      <c r="A14" s="8" t="n"/>
      <c r="B14" s="8" t="n"/>
      <c r="C14" s="9" t="n"/>
      <c r="D14" s="10" t="n"/>
      <c r="E14" s="11">
        <f>IF($A14="","",IF($D14="","",$D14-IF($G14="",Contracts!$C$3,$G14)))</f>
        <v/>
      </c>
      <c r="F14" s="12">
        <f>IF($E14="","",$E14-TODAY())</f>
        <v/>
      </c>
      <c r="G14" s="6" t="n"/>
      <c r="H14" s="13">
        <f>IF($A14="","",IF($F14="","",IF($F14&lt;0,"MISSED",IF($F14&lt;Contracts!$G$3,"ACT NOW","OK"))))</f>
        <v/>
      </c>
      <c r="I14" s="14">
        <f>IF($B14="","",SUMIFS(Contracts!$C$5:$C$204,Contracts!$B$5:$B$204,$B14))</f>
        <v/>
      </c>
      <c r="J14" s="8" t="n"/>
      <c r="K14" s="8" t="n"/>
      <c r="L14" s="8" t="n"/>
      <c r="M14" s="10" t="n"/>
      <c r="N14" s="14">
        <f>IF($A14="","",SUMIFS(Spend!$E$5:$E$204,Spend!$B$5:$B$204,$A14))</f>
        <v/>
      </c>
      <c r="O14" s="15">
        <f>IF($A14="","",IFERROR($N14/$C14,0))</f>
        <v/>
      </c>
      <c r="P14" s="8" t="n"/>
      <c r="Q14" s="8" t="n"/>
      <c r="R14" s="16">
        <f>IF($E14="","",COUNTIFS($E$5:$E$204,"&lt;"&amp;$E14)+COUNTIF($E$5:$E14,$E14))</f>
        <v/>
      </c>
      <c r="T14" s="8" t="n"/>
      <c r="U14" s="16">
        <f>IF($T14="","",COUNTIFS(Contracts!$B$5:$B$204,$T14))</f>
        <v/>
      </c>
      <c r="V14" s="17">
        <f>IF($T14="","",SUMIFS(Contracts!$C$5:$C$204,Contracts!$B$5:$B$204,$T14))</f>
        <v/>
      </c>
      <c r="W14" s="15">
        <f>IF($T14="","",IFERROR(SUMIFS(Contracts!$C$5:$C$204,Contracts!$B$5:$B$204,$T14)/SUM(Contracts!$C$5:$C$204),0))</f>
        <v/>
      </c>
      <c r="X14" s="16">
        <f>IF($T14="","",COUNTIFS(Contracts!$B$5:$B$204,$T14,Contracts!$H$5:$H$204,"MISSED"))</f>
        <v/>
      </c>
      <c r="Y14" s="16">
        <f>IF($T14="","",COUNTIFS(Contracts!$B$5:$B$204,$T14,Contracts!$H$5:$H$204,"ACT NOW"))</f>
        <v/>
      </c>
    </row>
    <row r="15">
      <c r="A15" s="8" t="n"/>
      <c r="B15" s="8" t="n"/>
      <c r="C15" s="9" t="n"/>
      <c r="D15" s="10" t="n"/>
      <c r="E15" s="11">
        <f>IF($A15="","",IF($D15="","",$D15-IF($G15="",Contracts!$C$3,$G15)))</f>
        <v/>
      </c>
      <c r="F15" s="12">
        <f>IF($E15="","",$E15-TODAY())</f>
        <v/>
      </c>
      <c r="G15" s="6" t="n"/>
      <c r="H15" s="13">
        <f>IF($A15="","",IF($F15="","",IF($F15&lt;0,"MISSED",IF($F15&lt;Contracts!$G$3,"ACT NOW","OK"))))</f>
        <v/>
      </c>
      <c r="I15" s="14">
        <f>IF($B15="","",SUMIFS(Contracts!$C$5:$C$204,Contracts!$B$5:$B$204,$B15))</f>
        <v/>
      </c>
      <c r="J15" s="8" t="n"/>
      <c r="K15" s="8" t="n"/>
      <c r="L15" s="8" t="n"/>
      <c r="M15" s="10" t="n"/>
      <c r="N15" s="14">
        <f>IF($A15="","",SUMIFS(Spend!$E$5:$E$204,Spend!$B$5:$B$204,$A15))</f>
        <v/>
      </c>
      <c r="O15" s="15">
        <f>IF($A15="","",IFERROR($N15/$C15,0))</f>
        <v/>
      </c>
      <c r="P15" s="8" t="n"/>
      <c r="Q15" s="8" t="n"/>
      <c r="R15" s="16">
        <f>IF($E15="","",COUNTIFS($E$5:$E$204,"&lt;"&amp;$E15)+COUNTIF($E$5:$E15,$E15))</f>
        <v/>
      </c>
      <c r="T15" s="8" t="n"/>
      <c r="U15" s="16">
        <f>IF($T15="","",COUNTIFS(Contracts!$B$5:$B$204,$T15))</f>
        <v/>
      </c>
      <c r="V15" s="17">
        <f>IF($T15="","",SUMIFS(Contracts!$C$5:$C$204,Contracts!$B$5:$B$204,$T15))</f>
        <v/>
      </c>
      <c r="W15" s="15">
        <f>IF($T15="","",IFERROR(SUMIFS(Contracts!$C$5:$C$204,Contracts!$B$5:$B$204,$T15)/SUM(Contracts!$C$5:$C$204),0))</f>
        <v/>
      </c>
      <c r="X15" s="16">
        <f>IF($T15="","",COUNTIFS(Contracts!$B$5:$B$204,$T15,Contracts!$H$5:$H$204,"MISSED"))</f>
        <v/>
      </c>
      <c r="Y15" s="16">
        <f>IF($T15="","",COUNTIFS(Contracts!$B$5:$B$204,$T15,Contracts!$H$5:$H$204,"ACT NOW"))</f>
        <v/>
      </c>
    </row>
    <row r="16">
      <c r="A16" s="8" t="n"/>
      <c r="B16" s="8" t="n"/>
      <c r="C16" s="9" t="n"/>
      <c r="D16" s="10" t="n"/>
      <c r="E16" s="11">
        <f>IF($A16="","",IF($D16="","",$D16-IF($G16="",Contracts!$C$3,$G16)))</f>
        <v/>
      </c>
      <c r="F16" s="12">
        <f>IF($E16="","",$E16-TODAY())</f>
        <v/>
      </c>
      <c r="G16" s="6" t="n"/>
      <c r="H16" s="13">
        <f>IF($A16="","",IF($F16="","",IF($F16&lt;0,"MISSED",IF($F16&lt;Contracts!$G$3,"ACT NOW","OK"))))</f>
        <v/>
      </c>
      <c r="I16" s="14">
        <f>IF($B16="","",SUMIFS(Contracts!$C$5:$C$204,Contracts!$B$5:$B$204,$B16))</f>
        <v/>
      </c>
      <c r="J16" s="8" t="n"/>
      <c r="K16" s="8" t="n"/>
      <c r="L16" s="8" t="n"/>
      <c r="M16" s="10" t="n"/>
      <c r="N16" s="14">
        <f>IF($A16="","",SUMIFS(Spend!$E$5:$E$204,Spend!$B$5:$B$204,$A16))</f>
        <v/>
      </c>
      <c r="O16" s="15">
        <f>IF($A16="","",IFERROR($N16/$C16,0))</f>
        <v/>
      </c>
      <c r="P16" s="8" t="n"/>
      <c r="Q16" s="8" t="n"/>
      <c r="R16" s="16">
        <f>IF($E16="","",COUNTIFS($E$5:$E$204,"&lt;"&amp;$E16)+COUNTIF($E$5:$E16,$E16))</f>
        <v/>
      </c>
      <c r="T16" s="8" t="n"/>
      <c r="U16" s="16">
        <f>IF($T16="","",COUNTIFS(Contracts!$B$5:$B$204,$T16))</f>
        <v/>
      </c>
      <c r="V16" s="17">
        <f>IF($T16="","",SUMIFS(Contracts!$C$5:$C$204,Contracts!$B$5:$B$204,$T16))</f>
        <v/>
      </c>
      <c r="W16" s="15">
        <f>IF($T16="","",IFERROR(SUMIFS(Contracts!$C$5:$C$204,Contracts!$B$5:$B$204,$T16)/SUM(Contracts!$C$5:$C$204),0))</f>
        <v/>
      </c>
      <c r="X16" s="16">
        <f>IF($T16="","",COUNTIFS(Contracts!$B$5:$B$204,$T16,Contracts!$H$5:$H$204,"MISSED"))</f>
        <v/>
      </c>
      <c r="Y16" s="16">
        <f>IF($T16="","",COUNTIFS(Contracts!$B$5:$B$204,$T16,Contracts!$H$5:$H$204,"ACT NOW"))</f>
        <v/>
      </c>
    </row>
    <row r="17">
      <c r="A17" s="8" t="n"/>
      <c r="B17" s="8" t="n"/>
      <c r="C17" s="9" t="n"/>
      <c r="D17" s="10" t="n"/>
      <c r="E17" s="11">
        <f>IF($A17="","",IF($D17="","",$D17-IF($G17="",Contracts!$C$3,$G17)))</f>
        <v/>
      </c>
      <c r="F17" s="12">
        <f>IF($E17="","",$E17-TODAY())</f>
        <v/>
      </c>
      <c r="G17" s="6" t="n"/>
      <c r="H17" s="13">
        <f>IF($A17="","",IF($F17="","",IF($F17&lt;0,"MISSED",IF($F17&lt;Contracts!$G$3,"ACT NOW","OK"))))</f>
        <v/>
      </c>
      <c r="I17" s="14">
        <f>IF($B17="","",SUMIFS(Contracts!$C$5:$C$204,Contracts!$B$5:$B$204,$B17))</f>
        <v/>
      </c>
      <c r="J17" s="8" t="n"/>
      <c r="K17" s="8" t="n"/>
      <c r="L17" s="8" t="n"/>
      <c r="M17" s="10" t="n"/>
      <c r="N17" s="14">
        <f>IF($A17="","",SUMIFS(Spend!$E$5:$E$204,Spend!$B$5:$B$204,$A17))</f>
        <v/>
      </c>
      <c r="O17" s="15">
        <f>IF($A17="","",IFERROR($N17/$C17,0))</f>
        <v/>
      </c>
      <c r="P17" s="8" t="n"/>
      <c r="Q17" s="8" t="n"/>
      <c r="R17" s="16">
        <f>IF($E17="","",COUNTIFS($E$5:$E$204,"&lt;"&amp;$E17)+COUNTIF($E$5:$E17,$E17))</f>
        <v/>
      </c>
      <c r="T17" s="8" t="n"/>
      <c r="U17" s="16">
        <f>IF($T17="","",COUNTIFS(Contracts!$B$5:$B$204,$T17))</f>
        <v/>
      </c>
      <c r="V17" s="17">
        <f>IF($T17="","",SUMIFS(Contracts!$C$5:$C$204,Contracts!$B$5:$B$204,$T17))</f>
        <v/>
      </c>
      <c r="W17" s="15">
        <f>IF($T17="","",IFERROR(SUMIFS(Contracts!$C$5:$C$204,Contracts!$B$5:$B$204,$T17)/SUM(Contracts!$C$5:$C$204),0))</f>
        <v/>
      </c>
      <c r="X17" s="16">
        <f>IF($T17="","",COUNTIFS(Contracts!$B$5:$B$204,$T17,Contracts!$H$5:$H$204,"MISSED"))</f>
        <v/>
      </c>
      <c r="Y17" s="16">
        <f>IF($T17="","",COUNTIFS(Contracts!$B$5:$B$204,$T17,Contracts!$H$5:$H$204,"ACT NOW"))</f>
        <v/>
      </c>
    </row>
    <row r="18">
      <c r="A18" s="8" t="n"/>
      <c r="B18" s="8" t="n"/>
      <c r="C18" s="9" t="n"/>
      <c r="D18" s="10" t="n"/>
      <c r="E18" s="11">
        <f>IF($A18="","",IF($D18="","",$D18-IF($G18="",Contracts!$C$3,$G18)))</f>
        <v/>
      </c>
      <c r="F18" s="12">
        <f>IF($E18="","",$E18-TODAY())</f>
        <v/>
      </c>
      <c r="G18" s="6" t="n"/>
      <c r="H18" s="13">
        <f>IF($A18="","",IF($F18="","",IF($F18&lt;0,"MISSED",IF($F18&lt;Contracts!$G$3,"ACT NOW","OK"))))</f>
        <v/>
      </c>
      <c r="I18" s="14">
        <f>IF($B18="","",SUMIFS(Contracts!$C$5:$C$204,Contracts!$B$5:$B$204,$B18))</f>
        <v/>
      </c>
      <c r="J18" s="8" t="n"/>
      <c r="K18" s="8" t="n"/>
      <c r="L18" s="8" t="n"/>
      <c r="M18" s="10" t="n"/>
      <c r="N18" s="14">
        <f>IF($A18="","",SUMIFS(Spend!$E$5:$E$204,Spend!$B$5:$B$204,$A18))</f>
        <v/>
      </c>
      <c r="O18" s="15">
        <f>IF($A18="","",IFERROR($N18/$C18,0))</f>
        <v/>
      </c>
      <c r="P18" s="8" t="n"/>
      <c r="Q18" s="8" t="n"/>
      <c r="R18" s="16">
        <f>IF($E18="","",COUNTIFS($E$5:$E$204,"&lt;"&amp;$E18)+COUNTIF($E$5:$E18,$E18))</f>
        <v/>
      </c>
      <c r="T18" s="8" t="n"/>
      <c r="U18" s="16">
        <f>IF($T18="","",COUNTIFS(Contracts!$B$5:$B$204,$T18))</f>
        <v/>
      </c>
      <c r="V18" s="17">
        <f>IF($T18="","",SUMIFS(Contracts!$C$5:$C$204,Contracts!$B$5:$B$204,$T18))</f>
        <v/>
      </c>
      <c r="W18" s="15">
        <f>IF($T18="","",IFERROR(SUMIFS(Contracts!$C$5:$C$204,Contracts!$B$5:$B$204,$T18)/SUM(Contracts!$C$5:$C$204),0))</f>
        <v/>
      </c>
      <c r="X18" s="16">
        <f>IF($T18="","",COUNTIFS(Contracts!$B$5:$B$204,$T18,Contracts!$H$5:$H$204,"MISSED"))</f>
        <v/>
      </c>
      <c r="Y18" s="16">
        <f>IF($T18="","",COUNTIFS(Contracts!$B$5:$B$204,$T18,Contracts!$H$5:$H$204,"ACT NOW"))</f>
        <v/>
      </c>
    </row>
    <row r="19">
      <c r="A19" s="8" t="n"/>
      <c r="B19" s="8" t="n"/>
      <c r="C19" s="9" t="n"/>
      <c r="D19" s="10" t="n"/>
      <c r="E19" s="11">
        <f>IF($A19="","",IF($D19="","",$D19-IF($G19="",Contracts!$C$3,$G19)))</f>
        <v/>
      </c>
      <c r="F19" s="12">
        <f>IF($E19="","",$E19-TODAY())</f>
        <v/>
      </c>
      <c r="G19" s="6" t="n"/>
      <c r="H19" s="13">
        <f>IF($A19="","",IF($F19="","",IF($F19&lt;0,"MISSED",IF($F19&lt;Contracts!$G$3,"ACT NOW","OK"))))</f>
        <v/>
      </c>
      <c r="I19" s="14">
        <f>IF($B19="","",SUMIFS(Contracts!$C$5:$C$204,Contracts!$B$5:$B$204,$B19))</f>
        <v/>
      </c>
      <c r="J19" s="8" t="n"/>
      <c r="K19" s="8" t="n"/>
      <c r="L19" s="8" t="n"/>
      <c r="M19" s="10" t="n"/>
      <c r="N19" s="14">
        <f>IF($A19="","",SUMIFS(Spend!$E$5:$E$204,Spend!$B$5:$B$204,$A19))</f>
        <v/>
      </c>
      <c r="O19" s="15">
        <f>IF($A19="","",IFERROR($N19/$C19,0))</f>
        <v/>
      </c>
      <c r="P19" s="8" t="n"/>
      <c r="Q19" s="8" t="n"/>
      <c r="R19" s="16">
        <f>IF($E19="","",COUNTIFS($E$5:$E$204,"&lt;"&amp;$E19)+COUNTIF($E$5:$E19,$E19))</f>
        <v/>
      </c>
      <c r="T19" s="8" t="n"/>
      <c r="U19" s="16">
        <f>IF($T19="","",COUNTIFS(Contracts!$B$5:$B$204,$T19))</f>
        <v/>
      </c>
      <c r="V19" s="17">
        <f>IF($T19="","",SUMIFS(Contracts!$C$5:$C$204,Contracts!$B$5:$B$204,$T19))</f>
        <v/>
      </c>
      <c r="W19" s="15">
        <f>IF($T19="","",IFERROR(SUMIFS(Contracts!$C$5:$C$204,Contracts!$B$5:$B$204,$T19)/SUM(Contracts!$C$5:$C$204),0))</f>
        <v/>
      </c>
      <c r="X19" s="16">
        <f>IF($T19="","",COUNTIFS(Contracts!$B$5:$B$204,$T19,Contracts!$H$5:$H$204,"MISSED"))</f>
        <v/>
      </c>
      <c r="Y19" s="16">
        <f>IF($T19="","",COUNTIFS(Contracts!$B$5:$B$204,$T19,Contracts!$H$5:$H$204,"ACT NOW"))</f>
        <v/>
      </c>
    </row>
    <row r="20">
      <c r="A20" s="8" t="n"/>
      <c r="B20" s="8" t="n"/>
      <c r="C20" s="9" t="n"/>
      <c r="D20" s="10" t="n"/>
      <c r="E20" s="11">
        <f>IF($A20="","",IF($D20="","",$D20-IF($G20="",Contracts!$C$3,$G20)))</f>
        <v/>
      </c>
      <c r="F20" s="12">
        <f>IF($E20="","",$E20-TODAY())</f>
        <v/>
      </c>
      <c r="G20" s="6" t="n"/>
      <c r="H20" s="13">
        <f>IF($A20="","",IF($F20="","",IF($F20&lt;0,"MISSED",IF($F20&lt;Contracts!$G$3,"ACT NOW","OK"))))</f>
        <v/>
      </c>
      <c r="I20" s="14">
        <f>IF($B20="","",SUMIFS(Contracts!$C$5:$C$204,Contracts!$B$5:$B$204,$B20))</f>
        <v/>
      </c>
      <c r="J20" s="8" t="n"/>
      <c r="K20" s="8" t="n"/>
      <c r="L20" s="8" t="n"/>
      <c r="M20" s="10" t="n"/>
      <c r="N20" s="14">
        <f>IF($A20="","",SUMIFS(Spend!$E$5:$E$204,Spend!$B$5:$B$204,$A20))</f>
        <v/>
      </c>
      <c r="O20" s="15">
        <f>IF($A20="","",IFERROR($N20/$C20,0))</f>
        <v/>
      </c>
      <c r="P20" s="8" t="n"/>
      <c r="Q20" s="8" t="n"/>
      <c r="R20" s="16">
        <f>IF($E20="","",COUNTIFS($E$5:$E$204,"&lt;"&amp;$E20)+COUNTIF($E$5:$E20,$E20))</f>
        <v/>
      </c>
    </row>
    <row r="21">
      <c r="A21" s="8" t="n"/>
      <c r="B21" s="8" t="n"/>
      <c r="C21" s="9" t="n"/>
      <c r="D21" s="10" t="n"/>
      <c r="E21" s="11">
        <f>IF($A21="","",IF($D21="","",$D21-IF($G21="",Contracts!$C$3,$G21)))</f>
        <v/>
      </c>
      <c r="F21" s="12">
        <f>IF($E21="","",$E21-TODAY())</f>
        <v/>
      </c>
      <c r="G21" s="6" t="n"/>
      <c r="H21" s="13">
        <f>IF($A21="","",IF($F21="","",IF($F21&lt;0,"MISSED",IF($F21&lt;Contracts!$G$3,"ACT NOW","OK"))))</f>
        <v/>
      </c>
      <c r="I21" s="14">
        <f>IF($B21="","",SUMIFS(Contracts!$C$5:$C$204,Contracts!$B$5:$B$204,$B21))</f>
        <v/>
      </c>
      <c r="J21" s="8" t="n"/>
      <c r="K21" s="8" t="n"/>
      <c r="L21" s="8" t="n"/>
      <c r="M21" s="10" t="n"/>
      <c r="N21" s="14">
        <f>IF($A21="","",SUMIFS(Spend!$E$5:$E$204,Spend!$B$5:$B$204,$A21))</f>
        <v/>
      </c>
      <c r="O21" s="15">
        <f>IF($A21="","",IFERROR($N21/$C21,0))</f>
        <v/>
      </c>
      <c r="P21" s="8" t="n"/>
      <c r="Q21" s="8" t="n"/>
      <c r="R21" s="16">
        <f>IF($E21="","",COUNTIFS($E$5:$E$204,"&lt;"&amp;$E21)+COUNTIF($E$5:$E21,$E21))</f>
        <v/>
      </c>
      <c r="T21" s="2" t="inlineStr">
        <is>
          <t>If one name holds most of the spend, ownership is nominal and every renewal review will be a rubber stamp.</t>
        </is>
      </c>
    </row>
    <row r="22">
      <c r="A22" s="8" t="n"/>
      <c r="B22" s="8" t="n"/>
      <c r="C22" s="9" t="n"/>
      <c r="D22" s="10" t="n"/>
      <c r="E22" s="11">
        <f>IF($A22="","",IF($D22="","",$D22-IF($G22="",Contracts!$C$3,$G22)))</f>
        <v/>
      </c>
      <c r="F22" s="12">
        <f>IF($E22="","",$E22-TODAY())</f>
        <v/>
      </c>
      <c r="G22" s="6" t="n"/>
      <c r="H22" s="13">
        <f>IF($A22="","",IF($F22="","",IF($F22&lt;0,"MISSED",IF($F22&lt;Contracts!$G$3,"ACT NOW","OK"))))</f>
        <v/>
      </c>
      <c r="I22" s="14">
        <f>IF($B22="","",SUMIFS(Contracts!$C$5:$C$204,Contracts!$B$5:$B$204,$B22))</f>
        <v/>
      </c>
      <c r="J22" s="8" t="n"/>
      <c r="K22" s="8" t="n"/>
      <c r="L22" s="8" t="n"/>
      <c r="M22" s="10" t="n"/>
      <c r="N22" s="14">
        <f>IF($A22="","",SUMIFS(Spend!$E$5:$E$204,Spend!$B$5:$B$204,$A22))</f>
        <v/>
      </c>
      <c r="O22" s="15">
        <f>IF($A22="","",IFERROR($N22/$C22,0))</f>
        <v/>
      </c>
      <c r="P22" s="8" t="n"/>
      <c r="Q22" s="8" t="n"/>
      <c r="R22" s="16">
        <f>IF($E22="","",COUNTIFS($E$5:$E$204,"&lt;"&amp;$E22)+COUNTIF($E$5:$E22,$E22))</f>
        <v/>
      </c>
    </row>
    <row r="23">
      <c r="A23" s="8" t="n"/>
      <c r="B23" s="8" t="n"/>
      <c r="C23" s="9" t="n"/>
      <c r="D23" s="10" t="n"/>
      <c r="E23" s="11">
        <f>IF($A23="","",IF($D23="","",$D23-IF($G23="",Contracts!$C$3,$G23)))</f>
        <v/>
      </c>
      <c r="F23" s="12">
        <f>IF($E23="","",$E23-TODAY())</f>
        <v/>
      </c>
      <c r="G23" s="6" t="n"/>
      <c r="H23" s="13">
        <f>IF($A23="","",IF($F23="","",IF($F23&lt;0,"MISSED",IF($F23&lt;Contracts!$G$3,"ACT NOW","OK"))))</f>
        <v/>
      </c>
      <c r="I23" s="14">
        <f>IF($B23="","",SUMIFS(Contracts!$C$5:$C$204,Contracts!$B$5:$B$204,$B23))</f>
        <v/>
      </c>
      <c r="J23" s="8" t="n"/>
      <c r="K23" s="8" t="n"/>
      <c r="L23" s="8" t="n"/>
      <c r="M23" s="10" t="n"/>
      <c r="N23" s="14">
        <f>IF($A23="","",SUMIFS(Spend!$E$5:$E$204,Spend!$B$5:$B$204,$A23))</f>
        <v/>
      </c>
      <c r="O23" s="15">
        <f>IF($A23="","",IFERROR($N23/$C23,0))</f>
        <v/>
      </c>
      <c r="P23" s="8" t="n"/>
      <c r="Q23" s="8" t="n"/>
      <c r="R23" s="16">
        <f>IF($E23="","",COUNTIFS($E$5:$E$204,"&lt;"&amp;$E23)+COUNTIF($E$5:$E23,$E23))</f>
        <v/>
      </c>
    </row>
    <row r="24">
      <c r="A24" s="8" t="n"/>
      <c r="B24" s="8" t="n"/>
      <c r="C24" s="9" t="n"/>
      <c r="D24" s="10" t="n"/>
      <c r="E24" s="11">
        <f>IF($A24="","",IF($D24="","",$D24-IF($G24="",Contracts!$C$3,$G24)))</f>
        <v/>
      </c>
      <c r="F24" s="12">
        <f>IF($E24="","",$E24-TODAY())</f>
        <v/>
      </c>
      <c r="G24" s="6" t="n"/>
      <c r="H24" s="13">
        <f>IF($A24="","",IF($F24="","",IF($F24&lt;0,"MISSED",IF($F24&lt;Contracts!$G$3,"ACT NOW","OK"))))</f>
        <v/>
      </c>
      <c r="I24" s="14">
        <f>IF($B24="","",SUMIFS(Contracts!$C$5:$C$204,Contracts!$B$5:$B$204,$B24))</f>
        <v/>
      </c>
      <c r="J24" s="8" t="n"/>
      <c r="K24" s="8" t="n"/>
      <c r="L24" s="8" t="n"/>
      <c r="M24" s="10" t="n"/>
      <c r="N24" s="14">
        <f>IF($A24="","",SUMIFS(Spend!$E$5:$E$204,Spend!$B$5:$B$204,$A24))</f>
        <v/>
      </c>
      <c r="O24" s="15">
        <f>IF($A24="","",IFERROR($N24/$C24,0))</f>
        <v/>
      </c>
      <c r="P24" s="8" t="n"/>
      <c r="Q24" s="8" t="n"/>
      <c r="R24" s="16">
        <f>IF($E24="","",COUNTIFS($E$5:$E$204,"&lt;"&amp;$E24)+COUNTIF($E$5:$E24,$E24))</f>
        <v/>
      </c>
    </row>
    <row r="25">
      <c r="A25" s="8" t="n"/>
      <c r="B25" s="8" t="n"/>
      <c r="C25" s="9" t="n"/>
      <c r="D25" s="10" t="n"/>
      <c r="E25" s="11">
        <f>IF($A25="","",IF($D25="","",$D25-IF($G25="",Contracts!$C$3,$G25)))</f>
        <v/>
      </c>
      <c r="F25" s="12">
        <f>IF($E25="","",$E25-TODAY())</f>
        <v/>
      </c>
      <c r="G25" s="6" t="n"/>
      <c r="H25" s="13">
        <f>IF($A25="","",IF($F25="","",IF($F25&lt;0,"MISSED",IF($F25&lt;Contracts!$G$3,"ACT NOW","OK"))))</f>
        <v/>
      </c>
      <c r="I25" s="14">
        <f>IF($B25="","",SUMIFS(Contracts!$C$5:$C$204,Contracts!$B$5:$B$204,$B25))</f>
        <v/>
      </c>
      <c r="J25" s="8" t="n"/>
      <c r="K25" s="8" t="n"/>
      <c r="L25" s="8" t="n"/>
      <c r="M25" s="10" t="n"/>
      <c r="N25" s="14">
        <f>IF($A25="","",SUMIFS(Spend!$E$5:$E$204,Spend!$B$5:$B$204,$A25))</f>
        <v/>
      </c>
      <c r="O25" s="15">
        <f>IF($A25="","",IFERROR($N25/$C25,0))</f>
        <v/>
      </c>
      <c r="P25" s="8" t="n"/>
      <c r="Q25" s="8" t="n"/>
      <c r="R25" s="16">
        <f>IF($E25="","",COUNTIFS($E$5:$E$204,"&lt;"&amp;$E25)+COUNTIF($E$5:$E25,$E25))</f>
        <v/>
      </c>
    </row>
    <row r="26">
      <c r="A26" s="8" t="n"/>
      <c r="B26" s="8" t="n"/>
      <c r="C26" s="9" t="n"/>
      <c r="D26" s="10" t="n"/>
      <c r="E26" s="11">
        <f>IF($A26="","",IF($D26="","",$D26-IF($G26="",Contracts!$C$3,$G26)))</f>
        <v/>
      </c>
      <c r="F26" s="12">
        <f>IF($E26="","",$E26-TODAY())</f>
        <v/>
      </c>
      <c r="G26" s="6" t="n"/>
      <c r="H26" s="13">
        <f>IF($A26="","",IF($F26="","",IF($F26&lt;0,"MISSED",IF($F26&lt;Contracts!$G$3,"ACT NOW","OK"))))</f>
        <v/>
      </c>
      <c r="I26" s="14">
        <f>IF($B26="","",SUMIFS(Contracts!$C$5:$C$204,Contracts!$B$5:$B$204,$B26))</f>
        <v/>
      </c>
      <c r="J26" s="8" t="n"/>
      <c r="K26" s="8" t="n"/>
      <c r="L26" s="8" t="n"/>
      <c r="M26" s="10" t="n"/>
      <c r="N26" s="14">
        <f>IF($A26="","",SUMIFS(Spend!$E$5:$E$204,Spend!$B$5:$B$204,$A26))</f>
        <v/>
      </c>
      <c r="O26" s="15">
        <f>IF($A26="","",IFERROR($N26/$C26,0))</f>
        <v/>
      </c>
      <c r="P26" s="8" t="n"/>
      <c r="Q26" s="8" t="n"/>
      <c r="R26" s="16">
        <f>IF($E26="","",COUNTIFS($E$5:$E$204,"&lt;"&amp;$E26)+COUNTIF($E$5:$E26,$E26))</f>
        <v/>
      </c>
    </row>
    <row r="27">
      <c r="A27" s="8" t="n"/>
      <c r="B27" s="8" t="n"/>
      <c r="C27" s="9" t="n"/>
      <c r="D27" s="10" t="n"/>
      <c r="E27" s="11">
        <f>IF($A27="","",IF($D27="","",$D27-IF($G27="",Contracts!$C$3,$G27)))</f>
        <v/>
      </c>
      <c r="F27" s="12">
        <f>IF($E27="","",$E27-TODAY())</f>
        <v/>
      </c>
      <c r="G27" s="6" t="n"/>
      <c r="H27" s="13">
        <f>IF($A27="","",IF($F27="","",IF($F27&lt;0,"MISSED",IF($F27&lt;Contracts!$G$3,"ACT NOW","OK"))))</f>
        <v/>
      </c>
      <c r="I27" s="14">
        <f>IF($B27="","",SUMIFS(Contracts!$C$5:$C$204,Contracts!$B$5:$B$204,$B27))</f>
        <v/>
      </c>
      <c r="J27" s="8" t="n"/>
      <c r="K27" s="8" t="n"/>
      <c r="L27" s="8" t="n"/>
      <c r="M27" s="10" t="n"/>
      <c r="N27" s="14">
        <f>IF($A27="","",SUMIFS(Spend!$E$5:$E$204,Spend!$B$5:$B$204,$A27))</f>
        <v/>
      </c>
      <c r="O27" s="15">
        <f>IF($A27="","",IFERROR($N27/$C27,0))</f>
        <v/>
      </c>
      <c r="P27" s="8" t="n"/>
      <c r="Q27" s="8" t="n"/>
      <c r="R27" s="16">
        <f>IF($E27="","",COUNTIFS($E$5:$E$204,"&lt;"&amp;$E27)+COUNTIF($E$5:$E27,$E27))</f>
        <v/>
      </c>
    </row>
    <row r="28">
      <c r="A28" s="8" t="n"/>
      <c r="B28" s="8" t="n"/>
      <c r="C28" s="9" t="n"/>
      <c r="D28" s="10" t="n"/>
      <c r="E28" s="11">
        <f>IF($A28="","",IF($D28="","",$D28-IF($G28="",Contracts!$C$3,$G28)))</f>
        <v/>
      </c>
      <c r="F28" s="12">
        <f>IF($E28="","",$E28-TODAY())</f>
        <v/>
      </c>
      <c r="G28" s="6" t="n"/>
      <c r="H28" s="13">
        <f>IF($A28="","",IF($F28="","",IF($F28&lt;0,"MISSED",IF($F28&lt;Contracts!$G$3,"ACT NOW","OK"))))</f>
        <v/>
      </c>
      <c r="I28" s="14">
        <f>IF($B28="","",SUMIFS(Contracts!$C$5:$C$204,Contracts!$B$5:$B$204,$B28))</f>
        <v/>
      </c>
      <c r="J28" s="8" t="n"/>
      <c r="K28" s="8" t="n"/>
      <c r="L28" s="8" t="n"/>
      <c r="M28" s="10" t="n"/>
      <c r="N28" s="14">
        <f>IF($A28="","",SUMIFS(Spend!$E$5:$E$204,Spend!$B$5:$B$204,$A28))</f>
        <v/>
      </c>
      <c r="O28" s="15">
        <f>IF($A28="","",IFERROR($N28/$C28,0))</f>
        <v/>
      </c>
      <c r="P28" s="8" t="n"/>
      <c r="Q28" s="8" t="n"/>
      <c r="R28" s="16">
        <f>IF($E28="","",COUNTIFS($E$5:$E$204,"&lt;"&amp;$E28)+COUNTIF($E$5:$E28,$E28))</f>
        <v/>
      </c>
    </row>
    <row r="29">
      <c r="A29" s="8" t="n"/>
      <c r="B29" s="8" t="n"/>
      <c r="C29" s="9" t="n"/>
      <c r="D29" s="10" t="n"/>
      <c r="E29" s="11">
        <f>IF($A29="","",IF($D29="","",$D29-IF($G29="",Contracts!$C$3,$G29)))</f>
        <v/>
      </c>
      <c r="F29" s="12">
        <f>IF($E29="","",$E29-TODAY())</f>
        <v/>
      </c>
      <c r="G29" s="6" t="n"/>
      <c r="H29" s="13">
        <f>IF($A29="","",IF($F29="","",IF($F29&lt;0,"MISSED",IF($F29&lt;Contracts!$G$3,"ACT NOW","OK"))))</f>
        <v/>
      </c>
      <c r="I29" s="14">
        <f>IF($B29="","",SUMIFS(Contracts!$C$5:$C$204,Contracts!$B$5:$B$204,$B29))</f>
        <v/>
      </c>
      <c r="J29" s="8" t="n"/>
      <c r="K29" s="8" t="n"/>
      <c r="L29" s="8" t="n"/>
      <c r="M29" s="10" t="n"/>
      <c r="N29" s="14">
        <f>IF($A29="","",SUMIFS(Spend!$E$5:$E$204,Spend!$B$5:$B$204,$A29))</f>
        <v/>
      </c>
      <c r="O29" s="15">
        <f>IF($A29="","",IFERROR($N29/$C29,0))</f>
        <v/>
      </c>
      <c r="P29" s="8" t="n"/>
      <c r="Q29" s="8" t="n"/>
      <c r="R29" s="16">
        <f>IF($E29="","",COUNTIFS($E$5:$E$204,"&lt;"&amp;$E29)+COUNTIF($E$5:$E29,$E29))</f>
        <v/>
      </c>
    </row>
    <row r="30">
      <c r="A30" s="8" t="n"/>
      <c r="B30" s="8" t="n"/>
      <c r="C30" s="9" t="n"/>
      <c r="D30" s="10" t="n"/>
      <c r="E30" s="11">
        <f>IF($A30="","",IF($D30="","",$D30-IF($G30="",Contracts!$C$3,$G30)))</f>
        <v/>
      </c>
      <c r="F30" s="12">
        <f>IF($E30="","",$E30-TODAY())</f>
        <v/>
      </c>
      <c r="G30" s="6" t="n"/>
      <c r="H30" s="13">
        <f>IF($A30="","",IF($F30="","",IF($F30&lt;0,"MISSED",IF($F30&lt;Contracts!$G$3,"ACT NOW","OK"))))</f>
        <v/>
      </c>
      <c r="I30" s="14">
        <f>IF($B30="","",SUMIFS(Contracts!$C$5:$C$204,Contracts!$B$5:$B$204,$B30))</f>
        <v/>
      </c>
      <c r="J30" s="8" t="n"/>
      <c r="K30" s="8" t="n"/>
      <c r="L30" s="8" t="n"/>
      <c r="M30" s="10" t="n"/>
      <c r="N30" s="14">
        <f>IF($A30="","",SUMIFS(Spend!$E$5:$E$204,Spend!$B$5:$B$204,$A30))</f>
        <v/>
      </c>
      <c r="O30" s="15">
        <f>IF($A30="","",IFERROR($N30/$C30,0))</f>
        <v/>
      </c>
      <c r="P30" s="8" t="n"/>
      <c r="Q30" s="8" t="n"/>
      <c r="R30" s="16">
        <f>IF($E30="","",COUNTIFS($E$5:$E$204,"&lt;"&amp;$E30)+COUNTIF($E$5:$E30,$E30))</f>
        <v/>
      </c>
    </row>
    <row r="31">
      <c r="A31" s="8" t="n"/>
      <c r="B31" s="8" t="n"/>
      <c r="C31" s="9" t="n"/>
      <c r="D31" s="10" t="n"/>
      <c r="E31" s="11">
        <f>IF($A31="","",IF($D31="","",$D31-IF($G31="",Contracts!$C$3,$G31)))</f>
        <v/>
      </c>
      <c r="F31" s="12">
        <f>IF($E31="","",$E31-TODAY())</f>
        <v/>
      </c>
      <c r="G31" s="6" t="n"/>
      <c r="H31" s="13">
        <f>IF($A31="","",IF($F31="","",IF($F31&lt;0,"MISSED",IF($F31&lt;Contracts!$G$3,"ACT NOW","OK"))))</f>
        <v/>
      </c>
      <c r="I31" s="14">
        <f>IF($B31="","",SUMIFS(Contracts!$C$5:$C$204,Contracts!$B$5:$B$204,$B31))</f>
        <v/>
      </c>
      <c r="J31" s="8" t="n"/>
      <c r="K31" s="8" t="n"/>
      <c r="L31" s="8" t="n"/>
      <c r="M31" s="10" t="n"/>
      <c r="N31" s="14">
        <f>IF($A31="","",SUMIFS(Spend!$E$5:$E$204,Spend!$B$5:$B$204,$A31))</f>
        <v/>
      </c>
      <c r="O31" s="15">
        <f>IF($A31="","",IFERROR($N31/$C31,0))</f>
        <v/>
      </c>
      <c r="P31" s="8" t="n"/>
      <c r="Q31" s="8" t="n"/>
      <c r="R31" s="16">
        <f>IF($E31="","",COUNTIFS($E$5:$E$204,"&lt;"&amp;$E31)+COUNTIF($E$5:$E31,$E31))</f>
        <v/>
      </c>
    </row>
    <row r="32">
      <c r="A32" s="8" t="n"/>
      <c r="B32" s="8" t="n"/>
      <c r="C32" s="9" t="n"/>
      <c r="D32" s="10" t="n"/>
      <c r="E32" s="11">
        <f>IF($A32="","",IF($D32="","",$D32-IF($G32="",Contracts!$C$3,$G32)))</f>
        <v/>
      </c>
      <c r="F32" s="12">
        <f>IF($E32="","",$E32-TODAY())</f>
        <v/>
      </c>
      <c r="G32" s="6" t="n"/>
      <c r="H32" s="13">
        <f>IF($A32="","",IF($F32="","",IF($F32&lt;0,"MISSED",IF($F32&lt;Contracts!$G$3,"ACT NOW","OK"))))</f>
        <v/>
      </c>
      <c r="I32" s="14">
        <f>IF($B32="","",SUMIFS(Contracts!$C$5:$C$204,Contracts!$B$5:$B$204,$B32))</f>
        <v/>
      </c>
      <c r="J32" s="8" t="n"/>
      <c r="K32" s="8" t="n"/>
      <c r="L32" s="8" t="n"/>
      <c r="M32" s="10" t="n"/>
      <c r="N32" s="14">
        <f>IF($A32="","",SUMIFS(Spend!$E$5:$E$204,Spend!$B$5:$B$204,$A32))</f>
        <v/>
      </c>
      <c r="O32" s="15">
        <f>IF($A32="","",IFERROR($N32/$C32,0))</f>
        <v/>
      </c>
      <c r="P32" s="8" t="n"/>
      <c r="Q32" s="8" t="n"/>
      <c r="R32" s="16">
        <f>IF($E32="","",COUNTIFS($E$5:$E$204,"&lt;"&amp;$E32)+COUNTIF($E$5:$E32,$E32))</f>
        <v/>
      </c>
    </row>
    <row r="33">
      <c r="A33" s="8" t="n"/>
      <c r="B33" s="8" t="n"/>
      <c r="C33" s="9" t="n"/>
      <c r="D33" s="10" t="n"/>
      <c r="E33" s="11">
        <f>IF($A33="","",IF($D33="","",$D33-IF($G33="",Contracts!$C$3,$G33)))</f>
        <v/>
      </c>
      <c r="F33" s="12">
        <f>IF($E33="","",$E33-TODAY())</f>
        <v/>
      </c>
      <c r="G33" s="6" t="n"/>
      <c r="H33" s="13">
        <f>IF($A33="","",IF($F33="","",IF($F33&lt;0,"MISSED",IF($F33&lt;Contracts!$G$3,"ACT NOW","OK"))))</f>
        <v/>
      </c>
      <c r="I33" s="14">
        <f>IF($B33="","",SUMIFS(Contracts!$C$5:$C$204,Contracts!$B$5:$B$204,$B33))</f>
        <v/>
      </c>
      <c r="J33" s="8" t="n"/>
      <c r="K33" s="8" t="n"/>
      <c r="L33" s="8" t="n"/>
      <c r="M33" s="10" t="n"/>
      <c r="N33" s="14">
        <f>IF($A33="","",SUMIFS(Spend!$E$5:$E$204,Spend!$B$5:$B$204,$A33))</f>
        <v/>
      </c>
      <c r="O33" s="15">
        <f>IF($A33="","",IFERROR($N33/$C33,0))</f>
        <v/>
      </c>
      <c r="P33" s="8" t="n"/>
      <c r="Q33" s="8" t="n"/>
      <c r="R33" s="16">
        <f>IF($E33="","",COUNTIFS($E$5:$E$204,"&lt;"&amp;$E33)+COUNTIF($E$5:$E33,$E33))</f>
        <v/>
      </c>
    </row>
    <row r="34">
      <c r="A34" s="8" t="n"/>
      <c r="B34" s="8" t="n"/>
      <c r="C34" s="9" t="n"/>
      <c r="D34" s="10" t="n"/>
      <c r="E34" s="11">
        <f>IF($A34="","",IF($D34="","",$D34-IF($G34="",Contracts!$C$3,$G34)))</f>
        <v/>
      </c>
      <c r="F34" s="12">
        <f>IF($E34="","",$E34-TODAY())</f>
        <v/>
      </c>
      <c r="G34" s="6" t="n"/>
      <c r="H34" s="13">
        <f>IF($A34="","",IF($F34="","",IF($F34&lt;0,"MISSED",IF($F34&lt;Contracts!$G$3,"ACT NOW","OK"))))</f>
        <v/>
      </c>
      <c r="I34" s="14">
        <f>IF($B34="","",SUMIFS(Contracts!$C$5:$C$204,Contracts!$B$5:$B$204,$B34))</f>
        <v/>
      </c>
      <c r="J34" s="8" t="n"/>
      <c r="K34" s="8" t="n"/>
      <c r="L34" s="8" t="n"/>
      <c r="M34" s="10" t="n"/>
      <c r="N34" s="14">
        <f>IF($A34="","",SUMIFS(Spend!$E$5:$E$204,Spend!$B$5:$B$204,$A34))</f>
        <v/>
      </c>
      <c r="O34" s="15">
        <f>IF($A34="","",IFERROR($N34/$C34,0))</f>
        <v/>
      </c>
      <c r="P34" s="8" t="n"/>
      <c r="Q34" s="8" t="n"/>
      <c r="R34" s="16">
        <f>IF($E34="","",COUNTIFS($E$5:$E$204,"&lt;"&amp;$E34)+COUNTIF($E$5:$E34,$E34))</f>
        <v/>
      </c>
    </row>
    <row r="35">
      <c r="A35" s="8" t="n"/>
      <c r="B35" s="8" t="n"/>
      <c r="C35" s="9" t="n"/>
      <c r="D35" s="10" t="n"/>
      <c r="E35" s="11">
        <f>IF($A35="","",IF($D35="","",$D35-IF($G35="",Contracts!$C$3,$G35)))</f>
        <v/>
      </c>
      <c r="F35" s="12">
        <f>IF($E35="","",$E35-TODAY())</f>
        <v/>
      </c>
      <c r="G35" s="6" t="n"/>
      <c r="H35" s="13">
        <f>IF($A35="","",IF($F35="","",IF($F35&lt;0,"MISSED",IF($F35&lt;Contracts!$G$3,"ACT NOW","OK"))))</f>
        <v/>
      </c>
      <c r="I35" s="14">
        <f>IF($B35="","",SUMIFS(Contracts!$C$5:$C$204,Contracts!$B$5:$B$204,$B35))</f>
        <v/>
      </c>
      <c r="J35" s="8" t="n"/>
      <c r="K35" s="8" t="n"/>
      <c r="L35" s="8" t="n"/>
      <c r="M35" s="10" t="n"/>
      <c r="N35" s="14">
        <f>IF($A35="","",SUMIFS(Spend!$E$5:$E$204,Spend!$B$5:$B$204,$A35))</f>
        <v/>
      </c>
      <c r="O35" s="15">
        <f>IF($A35="","",IFERROR($N35/$C35,0))</f>
        <v/>
      </c>
      <c r="P35" s="8" t="n"/>
      <c r="Q35" s="8" t="n"/>
      <c r="R35" s="16">
        <f>IF($E35="","",COUNTIFS($E$5:$E$204,"&lt;"&amp;$E35)+COUNTIF($E$5:$E35,$E35))</f>
        <v/>
      </c>
    </row>
    <row r="36">
      <c r="A36" s="8" t="n"/>
      <c r="B36" s="8" t="n"/>
      <c r="C36" s="9" t="n"/>
      <c r="D36" s="10" t="n"/>
      <c r="E36" s="11">
        <f>IF($A36="","",IF($D36="","",$D36-IF($G36="",Contracts!$C$3,$G36)))</f>
        <v/>
      </c>
      <c r="F36" s="12">
        <f>IF($E36="","",$E36-TODAY())</f>
        <v/>
      </c>
      <c r="G36" s="6" t="n"/>
      <c r="H36" s="13">
        <f>IF($A36="","",IF($F36="","",IF($F36&lt;0,"MISSED",IF($F36&lt;Contracts!$G$3,"ACT NOW","OK"))))</f>
        <v/>
      </c>
      <c r="I36" s="14">
        <f>IF($B36="","",SUMIFS(Contracts!$C$5:$C$204,Contracts!$B$5:$B$204,$B36))</f>
        <v/>
      </c>
      <c r="J36" s="8" t="n"/>
      <c r="K36" s="8" t="n"/>
      <c r="L36" s="8" t="n"/>
      <c r="M36" s="10" t="n"/>
      <c r="N36" s="14">
        <f>IF($A36="","",SUMIFS(Spend!$E$5:$E$204,Spend!$B$5:$B$204,$A36))</f>
        <v/>
      </c>
      <c r="O36" s="15">
        <f>IF($A36="","",IFERROR($N36/$C36,0))</f>
        <v/>
      </c>
      <c r="P36" s="8" t="n"/>
      <c r="Q36" s="8" t="n"/>
      <c r="R36" s="16">
        <f>IF($E36="","",COUNTIFS($E$5:$E$204,"&lt;"&amp;$E36)+COUNTIF($E$5:$E36,$E36))</f>
        <v/>
      </c>
    </row>
    <row r="37">
      <c r="A37" s="8" t="n"/>
      <c r="B37" s="8" t="n"/>
      <c r="C37" s="9" t="n"/>
      <c r="D37" s="10" t="n"/>
      <c r="E37" s="11">
        <f>IF($A37="","",IF($D37="","",$D37-IF($G37="",Contracts!$C$3,$G37)))</f>
        <v/>
      </c>
      <c r="F37" s="12">
        <f>IF($E37="","",$E37-TODAY())</f>
        <v/>
      </c>
      <c r="G37" s="6" t="n"/>
      <c r="H37" s="13">
        <f>IF($A37="","",IF($F37="","",IF($F37&lt;0,"MISSED",IF($F37&lt;Contracts!$G$3,"ACT NOW","OK"))))</f>
        <v/>
      </c>
      <c r="I37" s="14">
        <f>IF($B37="","",SUMIFS(Contracts!$C$5:$C$204,Contracts!$B$5:$B$204,$B37))</f>
        <v/>
      </c>
      <c r="J37" s="8" t="n"/>
      <c r="K37" s="8" t="n"/>
      <c r="L37" s="8" t="n"/>
      <c r="M37" s="10" t="n"/>
      <c r="N37" s="14">
        <f>IF($A37="","",SUMIFS(Spend!$E$5:$E$204,Spend!$B$5:$B$204,$A37))</f>
        <v/>
      </c>
      <c r="O37" s="15">
        <f>IF($A37="","",IFERROR($N37/$C37,0))</f>
        <v/>
      </c>
      <c r="P37" s="8" t="n"/>
      <c r="Q37" s="8" t="n"/>
      <c r="R37" s="16">
        <f>IF($E37="","",COUNTIFS($E$5:$E$204,"&lt;"&amp;$E37)+COUNTIF($E$5:$E37,$E37))</f>
        <v/>
      </c>
    </row>
    <row r="38">
      <c r="A38" s="8" t="n"/>
      <c r="B38" s="8" t="n"/>
      <c r="C38" s="9" t="n"/>
      <c r="D38" s="10" t="n"/>
      <c r="E38" s="11">
        <f>IF($A38="","",IF($D38="","",$D38-IF($G38="",Contracts!$C$3,$G38)))</f>
        <v/>
      </c>
      <c r="F38" s="12">
        <f>IF($E38="","",$E38-TODAY())</f>
        <v/>
      </c>
      <c r="G38" s="6" t="n"/>
      <c r="H38" s="13">
        <f>IF($A38="","",IF($F38="","",IF($F38&lt;0,"MISSED",IF($F38&lt;Contracts!$G$3,"ACT NOW","OK"))))</f>
        <v/>
      </c>
      <c r="I38" s="14">
        <f>IF($B38="","",SUMIFS(Contracts!$C$5:$C$204,Contracts!$B$5:$B$204,$B38))</f>
        <v/>
      </c>
      <c r="J38" s="8" t="n"/>
      <c r="K38" s="8" t="n"/>
      <c r="L38" s="8" t="n"/>
      <c r="M38" s="10" t="n"/>
      <c r="N38" s="14">
        <f>IF($A38="","",SUMIFS(Spend!$E$5:$E$204,Spend!$B$5:$B$204,$A38))</f>
        <v/>
      </c>
      <c r="O38" s="15">
        <f>IF($A38="","",IFERROR($N38/$C38,0))</f>
        <v/>
      </c>
      <c r="P38" s="8" t="n"/>
      <c r="Q38" s="8" t="n"/>
      <c r="R38" s="16">
        <f>IF($E38="","",COUNTIFS($E$5:$E$204,"&lt;"&amp;$E38)+COUNTIF($E$5:$E38,$E38))</f>
        <v/>
      </c>
    </row>
    <row r="39">
      <c r="A39" s="8" t="n"/>
      <c r="B39" s="8" t="n"/>
      <c r="C39" s="9" t="n"/>
      <c r="D39" s="10" t="n"/>
      <c r="E39" s="11">
        <f>IF($A39="","",IF($D39="","",$D39-IF($G39="",Contracts!$C$3,$G39)))</f>
        <v/>
      </c>
      <c r="F39" s="12">
        <f>IF($E39="","",$E39-TODAY())</f>
        <v/>
      </c>
      <c r="G39" s="6" t="n"/>
      <c r="H39" s="13">
        <f>IF($A39="","",IF($F39="","",IF($F39&lt;0,"MISSED",IF($F39&lt;Contracts!$G$3,"ACT NOW","OK"))))</f>
        <v/>
      </c>
      <c r="I39" s="14">
        <f>IF($B39="","",SUMIFS(Contracts!$C$5:$C$204,Contracts!$B$5:$B$204,$B39))</f>
        <v/>
      </c>
      <c r="J39" s="8" t="n"/>
      <c r="K39" s="8" t="n"/>
      <c r="L39" s="8" t="n"/>
      <c r="M39" s="10" t="n"/>
      <c r="N39" s="14">
        <f>IF($A39="","",SUMIFS(Spend!$E$5:$E$204,Spend!$B$5:$B$204,$A39))</f>
        <v/>
      </c>
      <c r="O39" s="15">
        <f>IF($A39="","",IFERROR($N39/$C39,0))</f>
        <v/>
      </c>
      <c r="P39" s="8" t="n"/>
      <c r="Q39" s="8" t="n"/>
      <c r="R39" s="16">
        <f>IF($E39="","",COUNTIFS($E$5:$E$204,"&lt;"&amp;$E39)+COUNTIF($E$5:$E39,$E39))</f>
        <v/>
      </c>
    </row>
    <row r="40">
      <c r="A40" s="8" t="n"/>
      <c r="B40" s="8" t="n"/>
      <c r="C40" s="9" t="n"/>
      <c r="D40" s="10" t="n"/>
      <c r="E40" s="11">
        <f>IF($A40="","",IF($D40="","",$D40-IF($G40="",Contracts!$C$3,$G40)))</f>
        <v/>
      </c>
      <c r="F40" s="12">
        <f>IF($E40="","",$E40-TODAY())</f>
        <v/>
      </c>
      <c r="G40" s="6" t="n"/>
      <c r="H40" s="13">
        <f>IF($A40="","",IF($F40="","",IF($F40&lt;0,"MISSED",IF($F40&lt;Contracts!$G$3,"ACT NOW","OK"))))</f>
        <v/>
      </c>
      <c r="I40" s="14">
        <f>IF($B40="","",SUMIFS(Contracts!$C$5:$C$204,Contracts!$B$5:$B$204,$B40))</f>
        <v/>
      </c>
      <c r="J40" s="8" t="n"/>
      <c r="K40" s="8" t="n"/>
      <c r="L40" s="8" t="n"/>
      <c r="M40" s="10" t="n"/>
      <c r="N40" s="14">
        <f>IF($A40="","",SUMIFS(Spend!$E$5:$E$204,Spend!$B$5:$B$204,$A40))</f>
        <v/>
      </c>
      <c r="O40" s="15">
        <f>IF($A40="","",IFERROR($N40/$C40,0))</f>
        <v/>
      </c>
      <c r="P40" s="8" t="n"/>
      <c r="Q40" s="8" t="n"/>
      <c r="R40" s="16">
        <f>IF($E40="","",COUNTIFS($E$5:$E$204,"&lt;"&amp;$E40)+COUNTIF($E$5:$E40,$E40))</f>
        <v/>
      </c>
    </row>
    <row r="41">
      <c r="A41" s="8" t="n"/>
      <c r="B41" s="8" t="n"/>
      <c r="C41" s="9" t="n"/>
      <c r="D41" s="10" t="n"/>
      <c r="E41" s="11">
        <f>IF($A41="","",IF($D41="","",$D41-IF($G41="",Contracts!$C$3,$G41)))</f>
        <v/>
      </c>
      <c r="F41" s="12">
        <f>IF($E41="","",$E41-TODAY())</f>
        <v/>
      </c>
      <c r="G41" s="6" t="n"/>
      <c r="H41" s="13">
        <f>IF($A41="","",IF($F41="","",IF($F41&lt;0,"MISSED",IF($F41&lt;Contracts!$G$3,"ACT NOW","OK"))))</f>
        <v/>
      </c>
      <c r="I41" s="14">
        <f>IF($B41="","",SUMIFS(Contracts!$C$5:$C$204,Contracts!$B$5:$B$204,$B41))</f>
        <v/>
      </c>
      <c r="J41" s="8" t="n"/>
      <c r="K41" s="8" t="n"/>
      <c r="L41" s="8" t="n"/>
      <c r="M41" s="10" t="n"/>
      <c r="N41" s="14">
        <f>IF($A41="","",SUMIFS(Spend!$E$5:$E$204,Spend!$B$5:$B$204,$A41))</f>
        <v/>
      </c>
      <c r="O41" s="15">
        <f>IF($A41="","",IFERROR($N41/$C41,0))</f>
        <v/>
      </c>
      <c r="P41" s="8" t="n"/>
      <c r="Q41" s="8" t="n"/>
      <c r="R41" s="16">
        <f>IF($E41="","",COUNTIFS($E$5:$E$204,"&lt;"&amp;$E41)+COUNTIF($E$5:$E41,$E41))</f>
        <v/>
      </c>
    </row>
    <row r="42">
      <c r="A42" s="8" t="n"/>
      <c r="B42" s="8" t="n"/>
      <c r="C42" s="9" t="n"/>
      <c r="D42" s="10" t="n"/>
      <c r="E42" s="11">
        <f>IF($A42="","",IF($D42="","",$D42-IF($G42="",Contracts!$C$3,$G42)))</f>
        <v/>
      </c>
      <c r="F42" s="12">
        <f>IF($E42="","",$E42-TODAY())</f>
        <v/>
      </c>
      <c r="G42" s="6" t="n"/>
      <c r="H42" s="13">
        <f>IF($A42="","",IF($F42="","",IF($F42&lt;0,"MISSED",IF($F42&lt;Contracts!$G$3,"ACT NOW","OK"))))</f>
        <v/>
      </c>
      <c r="I42" s="14">
        <f>IF($B42="","",SUMIFS(Contracts!$C$5:$C$204,Contracts!$B$5:$B$204,$B42))</f>
        <v/>
      </c>
      <c r="J42" s="8" t="n"/>
      <c r="K42" s="8" t="n"/>
      <c r="L42" s="8" t="n"/>
      <c r="M42" s="10" t="n"/>
      <c r="N42" s="14">
        <f>IF($A42="","",SUMIFS(Spend!$E$5:$E$204,Spend!$B$5:$B$204,$A42))</f>
        <v/>
      </c>
      <c r="O42" s="15">
        <f>IF($A42="","",IFERROR($N42/$C42,0))</f>
        <v/>
      </c>
      <c r="P42" s="8" t="n"/>
      <c r="Q42" s="8" t="n"/>
      <c r="R42" s="16">
        <f>IF($E42="","",COUNTIFS($E$5:$E$204,"&lt;"&amp;$E42)+COUNTIF($E$5:$E42,$E42))</f>
        <v/>
      </c>
    </row>
    <row r="43">
      <c r="A43" s="8" t="n"/>
      <c r="B43" s="8" t="n"/>
      <c r="C43" s="9" t="n"/>
      <c r="D43" s="10" t="n"/>
      <c r="E43" s="11">
        <f>IF($A43="","",IF($D43="","",$D43-IF($G43="",Contracts!$C$3,$G43)))</f>
        <v/>
      </c>
      <c r="F43" s="12">
        <f>IF($E43="","",$E43-TODAY())</f>
        <v/>
      </c>
      <c r="G43" s="6" t="n"/>
      <c r="H43" s="13">
        <f>IF($A43="","",IF($F43="","",IF($F43&lt;0,"MISSED",IF($F43&lt;Contracts!$G$3,"ACT NOW","OK"))))</f>
        <v/>
      </c>
      <c r="I43" s="14">
        <f>IF($B43="","",SUMIFS(Contracts!$C$5:$C$204,Contracts!$B$5:$B$204,$B43))</f>
        <v/>
      </c>
      <c r="J43" s="8" t="n"/>
      <c r="K43" s="8" t="n"/>
      <c r="L43" s="8" t="n"/>
      <c r="M43" s="10" t="n"/>
      <c r="N43" s="14">
        <f>IF($A43="","",SUMIFS(Spend!$E$5:$E$204,Spend!$B$5:$B$204,$A43))</f>
        <v/>
      </c>
      <c r="O43" s="15">
        <f>IF($A43="","",IFERROR($N43/$C43,0))</f>
        <v/>
      </c>
      <c r="P43" s="8" t="n"/>
      <c r="Q43" s="8" t="n"/>
      <c r="R43" s="16">
        <f>IF($E43="","",COUNTIFS($E$5:$E$204,"&lt;"&amp;$E43)+COUNTIF($E$5:$E43,$E43))</f>
        <v/>
      </c>
    </row>
    <row r="44">
      <c r="A44" s="8" t="n"/>
      <c r="B44" s="8" t="n"/>
      <c r="C44" s="9" t="n"/>
      <c r="D44" s="10" t="n"/>
      <c r="E44" s="11">
        <f>IF($A44="","",IF($D44="","",$D44-IF($G44="",Contracts!$C$3,$G44)))</f>
        <v/>
      </c>
      <c r="F44" s="12">
        <f>IF($E44="","",$E44-TODAY())</f>
        <v/>
      </c>
      <c r="G44" s="6" t="n"/>
      <c r="H44" s="13">
        <f>IF($A44="","",IF($F44="","",IF($F44&lt;0,"MISSED",IF($F44&lt;Contracts!$G$3,"ACT NOW","OK"))))</f>
        <v/>
      </c>
      <c r="I44" s="14">
        <f>IF($B44="","",SUMIFS(Contracts!$C$5:$C$204,Contracts!$B$5:$B$204,$B44))</f>
        <v/>
      </c>
      <c r="J44" s="8" t="n"/>
      <c r="K44" s="8" t="n"/>
      <c r="L44" s="8" t="n"/>
      <c r="M44" s="10" t="n"/>
      <c r="N44" s="14">
        <f>IF($A44="","",SUMIFS(Spend!$E$5:$E$204,Spend!$B$5:$B$204,$A44))</f>
        <v/>
      </c>
      <c r="O44" s="15">
        <f>IF($A44="","",IFERROR($N44/$C44,0))</f>
        <v/>
      </c>
      <c r="P44" s="8" t="n"/>
      <c r="Q44" s="8" t="n"/>
      <c r="R44" s="16">
        <f>IF($E44="","",COUNTIFS($E$5:$E$204,"&lt;"&amp;$E44)+COUNTIF($E$5:$E44,$E44))</f>
        <v/>
      </c>
    </row>
    <row r="45">
      <c r="A45" s="8" t="n"/>
      <c r="B45" s="8" t="n"/>
      <c r="C45" s="9" t="n"/>
      <c r="D45" s="10" t="n"/>
      <c r="E45" s="11">
        <f>IF($A45="","",IF($D45="","",$D45-IF($G45="",Contracts!$C$3,$G45)))</f>
        <v/>
      </c>
      <c r="F45" s="12">
        <f>IF($E45="","",$E45-TODAY())</f>
        <v/>
      </c>
      <c r="G45" s="6" t="n"/>
      <c r="H45" s="13">
        <f>IF($A45="","",IF($F45="","",IF($F45&lt;0,"MISSED",IF($F45&lt;Contracts!$G$3,"ACT NOW","OK"))))</f>
        <v/>
      </c>
      <c r="I45" s="14">
        <f>IF($B45="","",SUMIFS(Contracts!$C$5:$C$204,Contracts!$B$5:$B$204,$B45))</f>
        <v/>
      </c>
      <c r="J45" s="8" t="n"/>
      <c r="K45" s="8" t="n"/>
      <c r="L45" s="8" t="n"/>
      <c r="M45" s="10" t="n"/>
      <c r="N45" s="14">
        <f>IF($A45="","",SUMIFS(Spend!$E$5:$E$204,Spend!$B$5:$B$204,$A45))</f>
        <v/>
      </c>
      <c r="O45" s="15">
        <f>IF($A45="","",IFERROR($N45/$C45,0))</f>
        <v/>
      </c>
      <c r="P45" s="8" t="n"/>
      <c r="Q45" s="8" t="n"/>
      <c r="R45" s="16">
        <f>IF($E45="","",COUNTIFS($E$5:$E$204,"&lt;"&amp;$E45)+COUNTIF($E$5:$E45,$E45))</f>
        <v/>
      </c>
    </row>
    <row r="46">
      <c r="A46" s="8" t="n"/>
      <c r="B46" s="8" t="n"/>
      <c r="C46" s="9" t="n"/>
      <c r="D46" s="10" t="n"/>
      <c r="E46" s="11">
        <f>IF($A46="","",IF($D46="","",$D46-IF($G46="",Contracts!$C$3,$G46)))</f>
        <v/>
      </c>
      <c r="F46" s="12">
        <f>IF($E46="","",$E46-TODAY())</f>
        <v/>
      </c>
      <c r="G46" s="6" t="n"/>
      <c r="H46" s="13">
        <f>IF($A46="","",IF($F46="","",IF($F46&lt;0,"MISSED",IF($F46&lt;Contracts!$G$3,"ACT NOW","OK"))))</f>
        <v/>
      </c>
      <c r="I46" s="14">
        <f>IF($B46="","",SUMIFS(Contracts!$C$5:$C$204,Contracts!$B$5:$B$204,$B46))</f>
        <v/>
      </c>
      <c r="J46" s="8" t="n"/>
      <c r="K46" s="8" t="n"/>
      <c r="L46" s="8" t="n"/>
      <c r="M46" s="10" t="n"/>
      <c r="N46" s="14">
        <f>IF($A46="","",SUMIFS(Spend!$E$5:$E$204,Spend!$B$5:$B$204,$A46))</f>
        <v/>
      </c>
      <c r="O46" s="15">
        <f>IF($A46="","",IFERROR($N46/$C46,0))</f>
        <v/>
      </c>
      <c r="P46" s="8" t="n"/>
      <c r="Q46" s="8" t="n"/>
      <c r="R46" s="16">
        <f>IF($E46="","",COUNTIFS($E$5:$E$204,"&lt;"&amp;$E46)+COUNTIF($E$5:$E46,$E46))</f>
        <v/>
      </c>
    </row>
    <row r="47">
      <c r="A47" s="8" t="n"/>
      <c r="B47" s="8" t="n"/>
      <c r="C47" s="9" t="n"/>
      <c r="D47" s="10" t="n"/>
      <c r="E47" s="11">
        <f>IF($A47="","",IF($D47="","",$D47-IF($G47="",Contracts!$C$3,$G47)))</f>
        <v/>
      </c>
      <c r="F47" s="12">
        <f>IF($E47="","",$E47-TODAY())</f>
        <v/>
      </c>
      <c r="G47" s="6" t="n"/>
      <c r="H47" s="13">
        <f>IF($A47="","",IF($F47="","",IF($F47&lt;0,"MISSED",IF($F47&lt;Contracts!$G$3,"ACT NOW","OK"))))</f>
        <v/>
      </c>
      <c r="I47" s="14">
        <f>IF($B47="","",SUMIFS(Contracts!$C$5:$C$204,Contracts!$B$5:$B$204,$B47))</f>
        <v/>
      </c>
      <c r="J47" s="8" t="n"/>
      <c r="K47" s="8" t="n"/>
      <c r="L47" s="8" t="n"/>
      <c r="M47" s="10" t="n"/>
      <c r="N47" s="14">
        <f>IF($A47="","",SUMIFS(Spend!$E$5:$E$204,Spend!$B$5:$B$204,$A47))</f>
        <v/>
      </c>
      <c r="O47" s="15">
        <f>IF($A47="","",IFERROR($N47/$C47,0))</f>
        <v/>
      </c>
      <c r="P47" s="8" t="n"/>
      <c r="Q47" s="8" t="n"/>
      <c r="R47" s="16">
        <f>IF($E47="","",COUNTIFS($E$5:$E$204,"&lt;"&amp;$E47)+COUNTIF($E$5:$E47,$E47))</f>
        <v/>
      </c>
    </row>
    <row r="48">
      <c r="A48" s="8" t="n"/>
      <c r="B48" s="8" t="n"/>
      <c r="C48" s="9" t="n"/>
      <c r="D48" s="10" t="n"/>
      <c r="E48" s="11">
        <f>IF($A48="","",IF($D48="","",$D48-IF($G48="",Contracts!$C$3,$G48)))</f>
        <v/>
      </c>
      <c r="F48" s="12">
        <f>IF($E48="","",$E48-TODAY())</f>
        <v/>
      </c>
      <c r="G48" s="6" t="n"/>
      <c r="H48" s="13">
        <f>IF($A48="","",IF($F48="","",IF($F48&lt;0,"MISSED",IF($F48&lt;Contracts!$G$3,"ACT NOW","OK"))))</f>
        <v/>
      </c>
      <c r="I48" s="14">
        <f>IF($B48="","",SUMIFS(Contracts!$C$5:$C$204,Contracts!$B$5:$B$204,$B48))</f>
        <v/>
      </c>
      <c r="J48" s="8" t="n"/>
      <c r="K48" s="8" t="n"/>
      <c r="L48" s="8" t="n"/>
      <c r="M48" s="10" t="n"/>
      <c r="N48" s="14">
        <f>IF($A48="","",SUMIFS(Spend!$E$5:$E$204,Spend!$B$5:$B$204,$A48))</f>
        <v/>
      </c>
      <c r="O48" s="15">
        <f>IF($A48="","",IFERROR($N48/$C48,0))</f>
        <v/>
      </c>
      <c r="P48" s="8" t="n"/>
      <c r="Q48" s="8" t="n"/>
      <c r="R48" s="16">
        <f>IF($E48="","",COUNTIFS($E$5:$E$204,"&lt;"&amp;$E48)+COUNTIF($E$5:$E48,$E48))</f>
        <v/>
      </c>
    </row>
    <row r="49">
      <c r="A49" s="8" t="n"/>
      <c r="B49" s="8" t="n"/>
      <c r="C49" s="9" t="n"/>
      <c r="D49" s="10" t="n"/>
      <c r="E49" s="11">
        <f>IF($A49="","",IF($D49="","",$D49-IF($G49="",Contracts!$C$3,$G49)))</f>
        <v/>
      </c>
      <c r="F49" s="12">
        <f>IF($E49="","",$E49-TODAY())</f>
        <v/>
      </c>
      <c r="G49" s="6" t="n"/>
      <c r="H49" s="13">
        <f>IF($A49="","",IF($F49="","",IF($F49&lt;0,"MISSED",IF($F49&lt;Contracts!$G$3,"ACT NOW","OK"))))</f>
        <v/>
      </c>
      <c r="I49" s="14">
        <f>IF($B49="","",SUMIFS(Contracts!$C$5:$C$204,Contracts!$B$5:$B$204,$B49))</f>
        <v/>
      </c>
      <c r="J49" s="8" t="n"/>
      <c r="K49" s="8" t="n"/>
      <c r="L49" s="8" t="n"/>
      <c r="M49" s="10" t="n"/>
      <c r="N49" s="14">
        <f>IF($A49="","",SUMIFS(Spend!$E$5:$E$204,Spend!$B$5:$B$204,$A49))</f>
        <v/>
      </c>
      <c r="O49" s="15">
        <f>IF($A49="","",IFERROR($N49/$C49,0))</f>
        <v/>
      </c>
      <c r="P49" s="8" t="n"/>
      <c r="Q49" s="8" t="n"/>
      <c r="R49" s="16">
        <f>IF($E49="","",COUNTIFS($E$5:$E$204,"&lt;"&amp;$E49)+COUNTIF($E$5:$E49,$E49))</f>
        <v/>
      </c>
    </row>
    <row r="50">
      <c r="A50" s="8" t="n"/>
      <c r="B50" s="8" t="n"/>
      <c r="C50" s="9" t="n"/>
      <c r="D50" s="10" t="n"/>
      <c r="E50" s="11">
        <f>IF($A50="","",IF($D50="","",$D50-IF($G50="",Contracts!$C$3,$G50)))</f>
        <v/>
      </c>
      <c r="F50" s="12">
        <f>IF($E50="","",$E50-TODAY())</f>
        <v/>
      </c>
      <c r="G50" s="6" t="n"/>
      <c r="H50" s="13">
        <f>IF($A50="","",IF($F50="","",IF($F50&lt;0,"MISSED",IF($F50&lt;Contracts!$G$3,"ACT NOW","OK"))))</f>
        <v/>
      </c>
      <c r="I50" s="14">
        <f>IF($B50="","",SUMIFS(Contracts!$C$5:$C$204,Contracts!$B$5:$B$204,$B50))</f>
        <v/>
      </c>
      <c r="J50" s="8" t="n"/>
      <c r="K50" s="8" t="n"/>
      <c r="L50" s="8" t="n"/>
      <c r="M50" s="10" t="n"/>
      <c r="N50" s="14">
        <f>IF($A50="","",SUMIFS(Spend!$E$5:$E$204,Spend!$B$5:$B$204,$A50))</f>
        <v/>
      </c>
      <c r="O50" s="15">
        <f>IF($A50="","",IFERROR($N50/$C50,0))</f>
        <v/>
      </c>
      <c r="P50" s="8" t="n"/>
      <c r="Q50" s="8" t="n"/>
      <c r="R50" s="16">
        <f>IF($E50="","",COUNTIFS($E$5:$E$204,"&lt;"&amp;$E50)+COUNTIF($E$5:$E50,$E50))</f>
        <v/>
      </c>
    </row>
    <row r="51">
      <c r="A51" s="8" t="n"/>
      <c r="B51" s="8" t="n"/>
      <c r="C51" s="9" t="n"/>
      <c r="D51" s="10" t="n"/>
      <c r="E51" s="11">
        <f>IF($A51="","",IF($D51="","",$D51-IF($G51="",Contracts!$C$3,$G51)))</f>
        <v/>
      </c>
      <c r="F51" s="12">
        <f>IF($E51="","",$E51-TODAY())</f>
        <v/>
      </c>
      <c r="G51" s="6" t="n"/>
      <c r="H51" s="13">
        <f>IF($A51="","",IF($F51="","",IF($F51&lt;0,"MISSED",IF($F51&lt;Contracts!$G$3,"ACT NOW","OK"))))</f>
        <v/>
      </c>
      <c r="I51" s="14">
        <f>IF($B51="","",SUMIFS(Contracts!$C$5:$C$204,Contracts!$B$5:$B$204,$B51))</f>
        <v/>
      </c>
      <c r="J51" s="8" t="n"/>
      <c r="K51" s="8" t="n"/>
      <c r="L51" s="8" t="n"/>
      <c r="M51" s="10" t="n"/>
      <c r="N51" s="14">
        <f>IF($A51="","",SUMIFS(Spend!$E$5:$E$204,Spend!$B$5:$B$204,$A51))</f>
        <v/>
      </c>
      <c r="O51" s="15">
        <f>IF($A51="","",IFERROR($N51/$C51,0))</f>
        <v/>
      </c>
      <c r="P51" s="8" t="n"/>
      <c r="Q51" s="8" t="n"/>
      <c r="R51" s="16">
        <f>IF($E51="","",COUNTIFS($E$5:$E$204,"&lt;"&amp;$E51)+COUNTIF($E$5:$E51,$E51))</f>
        <v/>
      </c>
    </row>
    <row r="52">
      <c r="A52" s="8" t="n"/>
      <c r="B52" s="8" t="n"/>
      <c r="C52" s="9" t="n"/>
      <c r="D52" s="10" t="n"/>
      <c r="E52" s="11">
        <f>IF($A52="","",IF($D52="","",$D52-IF($G52="",Contracts!$C$3,$G52)))</f>
        <v/>
      </c>
      <c r="F52" s="12">
        <f>IF($E52="","",$E52-TODAY())</f>
        <v/>
      </c>
      <c r="G52" s="6" t="n"/>
      <c r="H52" s="13">
        <f>IF($A52="","",IF($F52="","",IF($F52&lt;0,"MISSED",IF($F52&lt;Contracts!$G$3,"ACT NOW","OK"))))</f>
        <v/>
      </c>
      <c r="I52" s="14">
        <f>IF($B52="","",SUMIFS(Contracts!$C$5:$C$204,Contracts!$B$5:$B$204,$B52))</f>
        <v/>
      </c>
      <c r="J52" s="8" t="n"/>
      <c r="K52" s="8" t="n"/>
      <c r="L52" s="8" t="n"/>
      <c r="M52" s="10" t="n"/>
      <c r="N52" s="14">
        <f>IF($A52="","",SUMIFS(Spend!$E$5:$E$204,Spend!$B$5:$B$204,$A52))</f>
        <v/>
      </c>
      <c r="O52" s="15">
        <f>IF($A52="","",IFERROR($N52/$C52,0))</f>
        <v/>
      </c>
      <c r="P52" s="8" t="n"/>
      <c r="Q52" s="8" t="n"/>
      <c r="R52" s="16">
        <f>IF($E52="","",COUNTIFS($E$5:$E$204,"&lt;"&amp;$E52)+COUNTIF($E$5:$E52,$E52))</f>
        <v/>
      </c>
    </row>
    <row r="53">
      <c r="A53" s="8" t="n"/>
      <c r="B53" s="8" t="n"/>
      <c r="C53" s="9" t="n"/>
      <c r="D53" s="10" t="n"/>
      <c r="E53" s="11">
        <f>IF($A53="","",IF($D53="","",$D53-IF($G53="",Contracts!$C$3,$G53)))</f>
        <v/>
      </c>
      <c r="F53" s="12">
        <f>IF($E53="","",$E53-TODAY())</f>
        <v/>
      </c>
      <c r="G53" s="6" t="n"/>
      <c r="H53" s="13">
        <f>IF($A53="","",IF($F53="","",IF($F53&lt;0,"MISSED",IF($F53&lt;Contracts!$G$3,"ACT NOW","OK"))))</f>
        <v/>
      </c>
      <c r="I53" s="14">
        <f>IF($B53="","",SUMIFS(Contracts!$C$5:$C$204,Contracts!$B$5:$B$204,$B53))</f>
        <v/>
      </c>
      <c r="J53" s="8" t="n"/>
      <c r="K53" s="8" t="n"/>
      <c r="L53" s="8" t="n"/>
      <c r="M53" s="10" t="n"/>
      <c r="N53" s="14">
        <f>IF($A53="","",SUMIFS(Spend!$E$5:$E$204,Spend!$B$5:$B$204,$A53))</f>
        <v/>
      </c>
      <c r="O53" s="15">
        <f>IF($A53="","",IFERROR($N53/$C53,0))</f>
        <v/>
      </c>
      <c r="P53" s="8" t="n"/>
      <c r="Q53" s="8" t="n"/>
      <c r="R53" s="16">
        <f>IF($E53="","",COUNTIFS($E$5:$E$204,"&lt;"&amp;$E53)+COUNTIF($E$5:$E53,$E53))</f>
        <v/>
      </c>
    </row>
    <row r="54">
      <c r="A54" s="8" t="n"/>
      <c r="B54" s="8" t="n"/>
      <c r="C54" s="9" t="n"/>
      <c r="D54" s="10" t="n"/>
      <c r="E54" s="11">
        <f>IF($A54="","",IF($D54="","",$D54-IF($G54="",Contracts!$C$3,$G54)))</f>
        <v/>
      </c>
      <c r="F54" s="12">
        <f>IF($E54="","",$E54-TODAY())</f>
        <v/>
      </c>
      <c r="G54" s="6" t="n"/>
      <c r="H54" s="13">
        <f>IF($A54="","",IF($F54="","",IF($F54&lt;0,"MISSED",IF($F54&lt;Contracts!$G$3,"ACT NOW","OK"))))</f>
        <v/>
      </c>
      <c r="I54" s="14">
        <f>IF($B54="","",SUMIFS(Contracts!$C$5:$C$204,Contracts!$B$5:$B$204,$B54))</f>
        <v/>
      </c>
      <c r="J54" s="8" t="n"/>
      <c r="K54" s="8" t="n"/>
      <c r="L54" s="8" t="n"/>
      <c r="M54" s="10" t="n"/>
      <c r="N54" s="14">
        <f>IF($A54="","",SUMIFS(Spend!$E$5:$E$204,Spend!$B$5:$B$204,$A54))</f>
        <v/>
      </c>
      <c r="O54" s="15">
        <f>IF($A54="","",IFERROR($N54/$C54,0))</f>
        <v/>
      </c>
      <c r="P54" s="8" t="n"/>
      <c r="Q54" s="8" t="n"/>
      <c r="R54" s="16">
        <f>IF($E54="","",COUNTIFS($E$5:$E$204,"&lt;"&amp;$E54)+COUNTIF($E$5:$E54,$E54))</f>
        <v/>
      </c>
    </row>
    <row r="55">
      <c r="A55" s="8" t="n"/>
      <c r="B55" s="8" t="n"/>
      <c r="C55" s="9" t="n"/>
      <c r="D55" s="10" t="n"/>
      <c r="E55" s="11">
        <f>IF($A55="","",IF($D55="","",$D55-IF($G55="",Contracts!$C$3,$G55)))</f>
        <v/>
      </c>
      <c r="F55" s="12">
        <f>IF($E55="","",$E55-TODAY())</f>
        <v/>
      </c>
      <c r="G55" s="6" t="n"/>
      <c r="H55" s="13">
        <f>IF($A55="","",IF($F55="","",IF($F55&lt;0,"MISSED",IF($F55&lt;Contracts!$G$3,"ACT NOW","OK"))))</f>
        <v/>
      </c>
      <c r="I55" s="14">
        <f>IF($B55="","",SUMIFS(Contracts!$C$5:$C$204,Contracts!$B$5:$B$204,$B55))</f>
        <v/>
      </c>
      <c r="J55" s="8" t="n"/>
      <c r="K55" s="8" t="n"/>
      <c r="L55" s="8" t="n"/>
      <c r="M55" s="10" t="n"/>
      <c r="N55" s="14">
        <f>IF($A55="","",SUMIFS(Spend!$E$5:$E$204,Spend!$B$5:$B$204,$A55))</f>
        <v/>
      </c>
      <c r="O55" s="15">
        <f>IF($A55="","",IFERROR($N55/$C55,0))</f>
        <v/>
      </c>
      <c r="P55" s="8" t="n"/>
      <c r="Q55" s="8" t="n"/>
      <c r="R55" s="16">
        <f>IF($E55="","",COUNTIFS($E$5:$E$204,"&lt;"&amp;$E55)+COUNTIF($E$5:$E55,$E55))</f>
        <v/>
      </c>
    </row>
    <row r="56">
      <c r="A56" s="8" t="n"/>
      <c r="B56" s="8" t="n"/>
      <c r="C56" s="9" t="n"/>
      <c r="D56" s="10" t="n"/>
      <c r="E56" s="11">
        <f>IF($A56="","",IF($D56="","",$D56-IF($G56="",Contracts!$C$3,$G56)))</f>
        <v/>
      </c>
      <c r="F56" s="12">
        <f>IF($E56="","",$E56-TODAY())</f>
        <v/>
      </c>
      <c r="G56" s="6" t="n"/>
      <c r="H56" s="13">
        <f>IF($A56="","",IF($F56="","",IF($F56&lt;0,"MISSED",IF($F56&lt;Contracts!$G$3,"ACT NOW","OK"))))</f>
        <v/>
      </c>
      <c r="I56" s="14">
        <f>IF($B56="","",SUMIFS(Contracts!$C$5:$C$204,Contracts!$B$5:$B$204,$B56))</f>
        <v/>
      </c>
      <c r="J56" s="8" t="n"/>
      <c r="K56" s="8" t="n"/>
      <c r="L56" s="8" t="n"/>
      <c r="M56" s="10" t="n"/>
      <c r="N56" s="14">
        <f>IF($A56="","",SUMIFS(Spend!$E$5:$E$204,Spend!$B$5:$B$204,$A56))</f>
        <v/>
      </c>
      <c r="O56" s="15">
        <f>IF($A56="","",IFERROR($N56/$C56,0))</f>
        <v/>
      </c>
      <c r="P56" s="8" t="n"/>
      <c r="Q56" s="8" t="n"/>
      <c r="R56" s="16">
        <f>IF($E56="","",COUNTIFS($E$5:$E$204,"&lt;"&amp;$E56)+COUNTIF($E$5:$E56,$E56))</f>
        <v/>
      </c>
    </row>
    <row r="57">
      <c r="A57" s="8" t="n"/>
      <c r="B57" s="8" t="n"/>
      <c r="C57" s="9" t="n"/>
      <c r="D57" s="10" t="n"/>
      <c r="E57" s="11">
        <f>IF($A57="","",IF($D57="","",$D57-IF($G57="",Contracts!$C$3,$G57)))</f>
        <v/>
      </c>
      <c r="F57" s="12">
        <f>IF($E57="","",$E57-TODAY())</f>
        <v/>
      </c>
      <c r="G57" s="6" t="n"/>
      <c r="H57" s="13">
        <f>IF($A57="","",IF($F57="","",IF($F57&lt;0,"MISSED",IF($F57&lt;Contracts!$G$3,"ACT NOW","OK"))))</f>
        <v/>
      </c>
      <c r="I57" s="14">
        <f>IF($B57="","",SUMIFS(Contracts!$C$5:$C$204,Contracts!$B$5:$B$204,$B57))</f>
        <v/>
      </c>
      <c r="J57" s="8" t="n"/>
      <c r="K57" s="8" t="n"/>
      <c r="L57" s="8" t="n"/>
      <c r="M57" s="10" t="n"/>
      <c r="N57" s="14">
        <f>IF($A57="","",SUMIFS(Spend!$E$5:$E$204,Spend!$B$5:$B$204,$A57))</f>
        <v/>
      </c>
      <c r="O57" s="15">
        <f>IF($A57="","",IFERROR($N57/$C57,0))</f>
        <v/>
      </c>
      <c r="P57" s="8" t="n"/>
      <c r="Q57" s="8" t="n"/>
      <c r="R57" s="16">
        <f>IF($E57="","",COUNTIFS($E$5:$E$204,"&lt;"&amp;$E57)+COUNTIF($E$5:$E57,$E57))</f>
        <v/>
      </c>
    </row>
    <row r="58">
      <c r="A58" s="8" t="n"/>
      <c r="B58" s="8" t="n"/>
      <c r="C58" s="9" t="n"/>
      <c r="D58" s="10" t="n"/>
      <c r="E58" s="11">
        <f>IF($A58="","",IF($D58="","",$D58-IF($G58="",Contracts!$C$3,$G58)))</f>
        <v/>
      </c>
      <c r="F58" s="12">
        <f>IF($E58="","",$E58-TODAY())</f>
        <v/>
      </c>
      <c r="G58" s="6" t="n"/>
      <c r="H58" s="13">
        <f>IF($A58="","",IF($F58="","",IF($F58&lt;0,"MISSED",IF($F58&lt;Contracts!$G$3,"ACT NOW","OK"))))</f>
        <v/>
      </c>
      <c r="I58" s="14">
        <f>IF($B58="","",SUMIFS(Contracts!$C$5:$C$204,Contracts!$B$5:$B$204,$B58))</f>
        <v/>
      </c>
      <c r="J58" s="8" t="n"/>
      <c r="K58" s="8" t="n"/>
      <c r="L58" s="8" t="n"/>
      <c r="M58" s="10" t="n"/>
      <c r="N58" s="14">
        <f>IF($A58="","",SUMIFS(Spend!$E$5:$E$204,Spend!$B$5:$B$204,$A58))</f>
        <v/>
      </c>
      <c r="O58" s="15">
        <f>IF($A58="","",IFERROR($N58/$C58,0))</f>
        <v/>
      </c>
      <c r="P58" s="8" t="n"/>
      <c r="Q58" s="8" t="n"/>
      <c r="R58" s="16">
        <f>IF($E58="","",COUNTIFS($E$5:$E$204,"&lt;"&amp;$E58)+COUNTIF($E$5:$E58,$E58))</f>
        <v/>
      </c>
    </row>
    <row r="59">
      <c r="A59" s="8" t="n"/>
      <c r="B59" s="8" t="n"/>
      <c r="C59" s="9" t="n"/>
      <c r="D59" s="10" t="n"/>
      <c r="E59" s="11">
        <f>IF($A59="","",IF($D59="","",$D59-IF($G59="",Contracts!$C$3,$G59)))</f>
        <v/>
      </c>
      <c r="F59" s="12">
        <f>IF($E59="","",$E59-TODAY())</f>
        <v/>
      </c>
      <c r="G59" s="6" t="n"/>
      <c r="H59" s="13">
        <f>IF($A59="","",IF($F59="","",IF($F59&lt;0,"MISSED",IF($F59&lt;Contracts!$G$3,"ACT NOW","OK"))))</f>
        <v/>
      </c>
      <c r="I59" s="14">
        <f>IF($B59="","",SUMIFS(Contracts!$C$5:$C$204,Contracts!$B$5:$B$204,$B59))</f>
        <v/>
      </c>
      <c r="J59" s="8" t="n"/>
      <c r="K59" s="8" t="n"/>
      <c r="L59" s="8" t="n"/>
      <c r="M59" s="10" t="n"/>
      <c r="N59" s="14">
        <f>IF($A59="","",SUMIFS(Spend!$E$5:$E$204,Spend!$B$5:$B$204,$A59))</f>
        <v/>
      </c>
      <c r="O59" s="15">
        <f>IF($A59="","",IFERROR($N59/$C59,0))</f>
        <v/>
      </c>
      <c r="P59" s="8" t="n"/>
      <c r="Q59" s="8" t="n"/>
      <c r="R59" s="16">
        <f>IF($E59="","",COUNTIFS($E$5:$E$204,"&lt;"&amp;$E59)+COUNTIF($E$5:$E59,$E59))</f>
        <v/>
      </c>
    </row>
    <row r="60">
      <c r="A60" s="8" t="n"/>
      <c r="B60" s="8" t="n"/>
      <c r="C60" s="9" t="n"/>
      <c r="D60" s="10" t="n"/>
      <c r="E60" s="11">
        <f>IF($A60="","",IF($D60="","",$D60-IF($G60="",Contracts!$C$3,$G60)))</f>
        <v/>
      </c>
      <c r="F60" s="12">
        <f>IF($E60="","",$E60-TODAY())</f>
        <v/>
      </c>
      <c r="G60" s="6" t="n"/>
      <c r="H60" s="13">
        <f>IF($A60="","",IF($F60="","",IF($F60&lt;0,"MISSED",IF($F60&lt;Contracts!$G$3,"ACT NOW","OK"))))</f>
        <v/>
      </c>
      <c r="I60" s="14">
        <f>IF($B60="","",SUMIFS(Contracts!$C$5:$C$204,Contracts!$B$5:$B$204,$B60))</f>
        <v/>
      </c>
      <c r="J60" s="8" t="n"/>
      <c r="K60" s="8" t="n"/>
      <c r="L60" s="8" t="n"/>
      <c r="M60" s="10" t="n"/>
      <c r="N60" s="14">
        <f>IF($A60="","",SUMIFS(Spend!$E$5:$E$204,Spend!$B$5:$B$204,$A60))</f>
        <v/>
      </c>
      <c r="O60" s="15">
        <f>IF($A60="","",IFERROR($N60/$C60,0))</f>
        <v/>
      </c>
      <c r="P60" s="8" t="n"/>
      <c r="Q60" s="8" t="n"/>
      <c r="R60" s="16">
        <f>IF($E60="","",COUNTIFS($E$5:$E$204,"&lt;"&amp;$E60)+COUNTIF($E$5:$E60,$E60))</f>
        <v/>
      </c>
    </row>
    <row r="61">
      <c r="A61" s="8" t="n"/>
      <c r="B61" s="8" t="n"/>
      <c r="C61" s="9" t="n"/>
      <c r="D61" s="10" t="n"/>
      <c r="E61" s="11">
        <f>IF($A61="","",IF($D61="","",$D61-IF($G61="",Contracts!$C$3,$G61)))</f>
        <v/>
      </c>
      <c r="F61" s="12">
        <f>IF($E61="","",$E61-TODAY())</f>
        <v/>
      </c>
      <c r="G61" s="6" t="n"/>
      <c r="H61" s="13">
        <f>IF($A61="","",IF($F61="","",IF($F61&lt;0,"MISSED",IF($F61&lt;Contracts!$G$3,"ACT NOW","OK"))))</f>
        <v/>
      </c>
      <c r="I61" s="14">
        <f>IF($B61="","",SUMIFS(Contracts!$C$5:$C$204,Contracts!$B$5:$B$204,$B61))</f>
        <v/>
      </c>
      <c r="J61" s="8" t="n"/>
      <c r="K61" s="8" t="n"/>
      <c r="L61" s="8" t="n"/>
      <c r="M61" s="10" t="n"/>
      <c r="N61" s="14">
        <f>IF($A61="","",SUMIFS(Spend!$E$5:$E$204,Spend!$B$5:$B$204,$A61))</f>
        <v/>
      </c>
      <c r="O61" s="15">
        <f>IF($A61="","",IFERROR($N61/$C61,0))</f>
        <v/>
      </c>
      <c r="P61" s="8" t="n"/>
      <c r="Q61" s="8" t="n"/>
      <c r="R61" s="16">
        <f>IF($E61="","",COUNTIFS($E$5:$E$204,"&lt;"&amp;$E61)+COUNTIF($E$5:$E61,$E61))</f>
        <v/>
      </c>
    </row>
    <row r="62">
      <c r="A62" s="8" t="n"/>
      <c r="B62" s="8" t="n"/>
      <c r="C62" s="9" t="n"/>
      <c r="D62" s="10" t="n"/>
      <c r="E62" s="11">
        <f>IF($A62="","",IF($D62="","",$D62-IF($G62="",Contracts!$C$3,$G62)))</f>
        <v/>
      </c>
      <c r="F62" s="12">
        <f>IF($E62="","",$E62-TODAY())</f>
        <v/>
      </c>
      <c r="G62" s="6" t="n"/>
      <c r="H62" s="13">
        <f>IF($A62="","",IF($F62="","",IF($F62&lt;0,"MISSED",IF($F62&lt;Contracts!$G$3,"ACT NOW","OK"))))</f>
        <v/>
      </c>
      <c r="I62" s="14">
        <f>IF($B62="","",SUMIFS(Contracts!$C$5:$C$204,Contracts!$B$5:$B$204,$B62))</f>
        <v/>
      </c>
      <c r="J62" s="8" t="n"/>
      <c r="K62" s="8" t="n"/>
      <c r="L62" s="8" t="n"/>
      <c r="M62" s="10" t="n"/>
      <c r="N62" s="14">
        <f>IF($A62="","",SUMIFS(Spend!$E$5:$E$204,Spend!$B$5:$B$204,$A62))</f>
        <v/>
      </c>
      <c r="O62" s="15">
        <f>IF($A62="","",IFERROR($N62/$C62,0))</f>
        <v/>
      </c>
      <c r="P62" s="8" t="n"/>
      <c r="Q62" s="8" t="n"/>
      <c r="R62" s="16">
        <f>IF($E62="","",COUNTIFS($E$5:$E$204,"&lt;"&amp;$E62)+COUNTIF($E$5:$E62,$E62))</f>
        <v/>
      </c>
    </row>
    <row r="63">
      <c r="A63" s="8" t="n"/>
      <c r="B63" s="8" t="n"/>
      <c r="C63" s="9" t="n"/>
      <c r="D63" s="10" t="n"/>
      <c r="E63" s="11">
        <f>IF($A63="","",IF($D63="","",$D63-IF($G63="",Contracts!$C$3,$G63)))</f>
        <v/>
      </c>
      <c r="F63" s="12">
        <f>IF($E63="","",$E63-TODAY())</f>
        <v/>
      </c>
      <c r="G63" s="6" t="n"/>
      <c r="H63" s="13">
        <f>IF($A63="","",IF($F63="","",IF($F63&lt;0,"MISSED",IF($F63&lt;Contracts!$G$3,"ACT NOW","OK"))))</f>
        <v/>
      </c>
      <c r="I63" s="14">
        <f>IF($B63="","",SUMIFS(Contracts!$C$5:$C$204,Contracts!$B$5:$B$204,$B63))</f>
        <v/>
      </c>
      <c r="J63" s="8" t="n"/>
      <c r="K63" s="8" t="n"/>
      <c r="L63" s="8" t="n"/>
      <c r="M63" s="10" t="n"/>
      <c r="N63" s="14">
        <f>IF($A63="","",SUMIFS(Spend!$E$5:$E$204,Spend!$B$5:$B$204,$A63))</f>
        <v/>
      </c>
      <c r="O63" s="15">
        <f>IF($A63="","",IFERROR($N63/$C63,0))</f>
        <v/>
      </c>
      <c r="P63" s="8" t="n"/>
      <c r="Q63" s="8" t="n"/>
      <c r="R63" s="16">
        <f>IF($E63="","",COUNTIFS($E$5:$E$204,"&lt;"&amp;$E63)+COUNTIF($E$5:$E63,$E63))</f>
        <v/>
      </c>
    </row>
    <row r="64">
      <c r="A64" s="8" t="n"/>
      <c r="B64" s="8" t="n"/>
      <c r="C64" s="9" t="n"/>
      <c r="D64" s="10" t="n"/>
      <c r="E64" s="11">
        <f>IF($A64="","",IF($D64="","",$D64-IF($G64="",Contracts!$C$3,$G64)))</f>
        <v/>
      </c>
      <c r="F64" s="12">
        <f>IF($E64="","",$E64-TODAY())</f>
        <v/>
      </c>
      <c r="G64" s="6" t="n"/>
      <c r="H64" s="13">
        <f>IF($A64="","",IF($F64="","",IF($F64&lt;0,"MISSED",IF($F64&lt;Contracts!$G$3,"ACT NOW","OK"))))</f>
        <v/>
      </c>
      <c r="I64" s="14">
        <f>IF($B64="","",SUMIFS(Contracts!$C$5:$C$204,Contracts!$B$5:$B$204,$B64))</f>
        <v/>
      </c>
      <c r="J64" s="8" t="n"/>
      <c r="K64" s="8" t="n"/>
      <c r="L64" s="8" t="n"/>
      <c r="M64" s="10" t="n"/>
      <c r="N64" s="14">
        <f>IF($A64="","",SUMIFS(Spend!$E$5:$E$204,Spend!$B$5:$B$204,$A64))</f>
        <v/>
      </c>
      <c r="O64" s="15">
        <f>IF($A64="","",IFERROR($N64/$C64,0))</f>
        <v/>
      </c>
      <c r="P64" s="8" t="n"/>
      <c r="Q64" s="8" t="n"/>
      <c r="R64" s="16">
        <f>IF($E64="","",COUNTIFS($E$5:$E$204,"&lt;"&amp;$E64)+COUNTIF($E$5:$E64,$E64))</f>
        <v/>
      </c>
    </row>
    <row r="65">
      <c r="A65" s="8" t="n"/>
      <c r="B65" s="8" t="n"/>
      <c r="C65" s="9" t="n"/>
      <c r="D65" s="10" t="n"/>
      <c r="E65" s="11">
        <f>IF($A65="","",IF($D65="","",$D65-IF($G65="",Contracts!$C$3,$G65)))</f>
        <v/>
      </c>
      <c r="F65" s="12">
        <f>IF($E65="","",$E65-TODAY())</f>
        <v/>
      </c>
      <c r="G65" s="6" t="n"/>
      <c r="H65" s="13">
        <f>IF($A65="","",IF($F65="","",IF($F65&lt;0,"MISSED",IF($F65&lt;Contracts!$G$3,"ACT NOW","OK"))))</f>
        <v/>
      </c>
      <c r="I65" s="14">
        <f>IF($B65="","",SUMIFS(Contracts!$C$5:$C$204,Contracts!$B$5:$B$204,$B65))</f>
        <v/>
      </c>
      <c r="J65" s="8" t="n"/>
      <c r="K65" s="8" t="n"/>
      <c r="L65" s="8" t="n"/>
      <c r="M65" s="10" t="n"/>
      <c r="N65" s="14">
        <f>IF($A65="","",SUMIFS(Spend!$E$5:$E$204,Spend!$B$5:$B$204,$A65))</f>
        <v/>
      </c>
      <c r="O65" s="15">
        <f>IF($A65="","",IFERROR($N65/$C65,0))</f>
        <v/>
      </c>
      <c r="P65" s="8" t="n"/>
      <c r="Q65" s="8" t="n"/>
      <c r="R65" s="16">
        <f>IF($E65="","",COUNTIFS($E$5:$E$204,"&lt;"&amp;$E65)+COUNTIF($E$5:$E65,$E65))</f>
        <v/>
      </c>
    </row>
    <row r="66">
      <c r="A66" s="8" t="n"/>
      <c r="B66" s="8" t="n"/>
      <c r="C66" s="9" t="n"/>
      <c r="D66" s="10" t="n"/>
      <c r="E66" s="11">
        <f>IF($A66="","",IF($D66="","",$D66-IF($G66="",Contracts!$C$3,$G66)))</f>
        <v/>
      </c>
      <c r="F66" s="12">
        <f>IF($E66="","",$E66-TODAY())</f>
        <v/>
      </c>
      <c r="G66" s="6" t="n"/>
      <c r="H66" s="13">
        <f>IF($A66="","",IF($F66="","",IF($F66&lt;0,"MISSED",IF($F66&lt;Contracts!$G$3,"ACT NOW","OK"))))</f>
        <v/>
      </c>
      <c r="I66" s="14">
        <f>IF($B66="","",SUMIFS(Contracts!$C$5:$C$204,Contracts!$B$5:$B$204,$B66))</f>
        <v/>
      </c>
      <c r="J66" s="8" t="n"/>
      <c r="K66" s="8" t="n"/>
      <c r="L66" s="8" t="n"/>
      <c r="M66" s="10" t="n"/>
      <c r="N66" s="14">
        <f>IF($A66="","",SUMIFS(Spend!$E$5:$E$204,Spend!$B$5:$B$204,$A66))</f>
        <v/>
      </c>
      <c r="O66" s="15">
        <f>IF($A66="","",IFERROR($N66/$C66,0))</f>
        <v/>
      </c>
      <c r="P66" s="8" t="n"/>
      <c r="Q66" s="8" t="n"/>
      <c r="R66" s="16">
        <f>IF($E66="","",COUNTIFS($E$5:$E$204,"&lt;"&amp;$E66)+COUNTIF($E$5:$E66,$E66))</f>
        <v/>
      </c>
    </row>
    <row r="67">
      <c r="A67" s="8" t="n"/>
      <c r="B67" s="8" t="n"/>
      <c r="C67" s="9" t="n"/>
      <c r="D67" s="10" t="n"/>
      <c r="E67" s="11">
        <f>IF($A67="","",IF($D67="","",$D67-IF($G67="",Contracts!$C$3,$G67)))</f>
        <v/>
      </c>
      <c r="F67" s="12">
        <f>IF($E67="","",$E67-TODAY())</f>
        <v/>
      </c>
      <c r="G67" s="6" t="n"/>
      <c r="H67" s="13">
        <f>IF($A67="","",IF($F67="","",IF($F67&lt;0,"MISSED",IF($F67&lt;Contracts!$G$3,"ACT NOW","OK"))))</f>
        <v/>
      </c>
      <c r="I67" s="14">
        <f>IF($B67="","",SUMIFS(Contracts!$C$5:$C$204,Contracts!$B$5:$B$204,$B67))</f>
        <v/>
      </c>
      <c r="J67" s="8" t="n"/>
      <c r="K67" s="8" t="n"/>
      <c r="L67" s="8" t="n"/>
      <c r="M67" s="10" t="n"/>
      <c r="N67" s="14">
        <f>IF($A67="","",SUMIFS(Spend!$E$5:$E$204,Spend!$B$5:$B$204,$A67))</f>
        <v/>
      </c>
      <c r="O67" s="15">
        <f>IF($A67="","",IFERROR($N67/$C67,0))</f>
        <v/>
      </c>
      <c r="P67" s="8" t="n"/>
      <c r="Q67" s="8" t="n"/>
      <c r="R67" s="16">
        <f>IF($E67="","",COUNTIFS($E$5:$E$204,"&lt;"&amp;$E67)+COUNTIF($E$5:$E67,$E67))</f>
        <v/>
      </c>
    </row>
    <row r="68">
      <c r="A68" s="8" t="n"/>
      <c r="B68" s="8" t="n"/>
      <c r="C68" s="9" t="n"/>
      <c r="D68" s="10" t="n"/>
      <c r="E68" s="11">
        <f>IF($A68="","",IF($D68="","",$D68-IF($G68="",Contracts!$C$3,$G68)))</f>
        <v/>
      </c>
      <c r="F68" s="12">
        <f>IF($E68="","",$E68-TODAY())</f>
        <v/>
      </c>
      <c r="G68" s="6" t="n"/>
      <c r="H68" s="13">
        <f>IF($A68="","",IF($F68="","",IF($F68&lt;0,"MISSED",IF($F68&lt;Contracts!$G$3,"ACT NOW","OK"))))</f>
        <v/>
      </c>
      <c r="I68" s="14">
        <f>IF($B68="","",SUMIFS(Contracts!$C$5:$C$204,Contracts!$B$5:$B$204,$B68))</f>
        <v/>
      </c>
      <c r="J68" s="8" t="n"/>
      <c r="K68" s="8" t="n"/>
      <c r="L68" s="8" t="n"/>
      <c r="M68" s="10" t="n"/>
      <c r="N68" s="14">
        <f>IF($A68="","",SUMIFS(Spend!$E$5:$E$204,Spend!$B$5:$B$204,$A68))</f>
        <v/>
      </c>
      <c r="O68" s="15">
        <f>IF($A68="","",IFERROR($N68/$C68,0))</f>
        <v/>
      </c>
      <c r="P68" s="8" t="n"/>
      <c r="Q68" s="8" t="n"/>
      <c r="R68" s="16">
        <f>IF($E68="","",COUNTIFS($E$5:$E$204,"&lt;"&amp;$E68)+COUNTIF($E$5:$E68,$E68))</f>
        <v/>
      </c>
    </row>
    <row r="69">
      <c r="A69" s="8" t="n"/>
      <c r="B69" s="8" t="n"/>
      <c r="C69" s="9" t="n"/>
      <c r="D69" s="10" t="n"/>
      <c r="E69" s="11">
        <f>IF($A69="","",IF($D69="","",$D69-IF($G69="",Contracts!$C$3,$G69)))</f>
        <v/>
      </c>
      <c r="F69" s="12">
        <f>IF($E69="","",$E69-TODAY())</f>
        <v/>
      </c>
      <c r="G69" s="6" t="n"/>
      <c r="H69" s="13">
        <f>IF($A69="","",IF($F69="","",IF($F69&lt;0,"MISSED",IF($F69&lt;Contracts!$G$3,"ACT NOW","OK"))))</f>
        <v/>
      </c>
      <c r="I69" s="14">
        <f>IF($B69="","",SUMIFS(Contracts!$C$5:$C$204,Contracts!$B$5:$B$204,$B69))</f>
        <v/>
      </c>
      <c r="J69" s="8" t="n"/>
      <c r="K69" s="8" t="n"/>
      <c r="L69" s="8" t="n"/>
      <c r="M69" s="10" t="n"/>
      <c r="N69" s="14">
        <f>IF($A69="","",SUMIFS(Spend!$E$5:$E$204,Spend!$B$5:$B$204,$A69))</f>
        <v/>
      </c>
      <c r="O69" s="15">
        <f>IF($A69="","",IFERROR($N69/$C69,0))</f>
        <v/>
      </c>
      <c r="P69" s="8" t="n"/>
      <c r="Q69" s="8" t="n"/>
      <c r="R69" s="16">
        <f>IF($E69="","",COUNTIFS($E$5:$E$204,"&lt;"&amp;$E69)+COUNTIF($E$5:$E69,$E69))</f>
        <v/>
      </c>
    </row>
    <row r="70">
      <c r="A70" s="8" t="n"/>
      <c r="B70" s="8" t="n"/>
      <c r="C70" s="9" t="n"/>
      <c r="D70" s="10" t="n"/>
      <c r="E70" s="11">
        <f>IF($A70="","",IF($D70="","",$D70-IF($G70="",Contracts!$C$3,$G70)))</f>
        <v/>
      </c>
      <c r="F70" s="12">
        <f>IF($E70="","",$E70-TODAY())</f>
        <v/>
      </c>
      <c r="G70" s="6" t="n"/>
      <c r="H70" s="13">
        <f>IF($A70="","",IF($F70="","",IF($F70&lt;0,"MISSED",IF($F70&lt;Contracts!$G$3,"ACT NOW","OK"))))</f>
        <v/>
      </c>
      <c r="I70" s="14">
        <f>IF($B70="","",SUMIFS(Contracts!$C$5:$C$204,Contracts!$B$5:$B$204,$B70))</f>
        <v/>
      </c>
      <c r="J70" s="8" t="n"/>
      <c r="K70" s="8" t="n"/>
      <c r="L70" s="8" t="n"/>
      <c r="M70" s="10" t="n"/>
      <c r="N70" s="14">
        <f>IF($A70="","",SUMIFS(Spend!$E$5:$E$204,Spend!$B$5:$B$204,$A70))</f>
        <v/>
      </c>
      <c r="O70" s="15">
        <f>IF($A70="","",IFERROR($N70/$C70,0))</f>
        <v/>
      </c>
      <c r="P70" s="8" t="n"/>
      <c r="Q70" s="8" t="n"/>
      <c r="R70" s="16">
        <f>IF($E70="","",COUNTIFS($E$5:$E$204,"&lt;"&amp;$E70)+COUNTIF($E$5:$E70,$E70))</f>
        <v/>
      </c>
    </row>
    <row r="71">
      <c r="A71" s="8" t="n"/>
      <c r="B71" s="8" t="n"/>
      <c r="C71" s="9" t="n"/>
      <c r="D71" s="10" t="n"/>
      <c r="E71" s="11">
        <f>IF($A71="","",IF($D71="","",$D71-IF($G71="",Contracts!$C$3,$G71)))</f>
        <v/>
      </c>
      <c r="F71" s="12">
        <f>IF($E71="","",$E71-TODAY())</f>
        <v/>
      </c>
      <c r="G71" s="6" t="n"/>
      <c r="H71" s="13">
        <f>IF($A71="","",IF($F71="","",IF($F71&lt;0,"MISSED",IF($F71&lt;Contracts!$G$3,"ACT NOW","OK"))))</f>
        <v/>
      </c>
      <c r="I71" s="14">
        <f>IF($B71="","",SUMIFS(Contracts!$C$5:$C$204,Contracts!$B$5:$B$204,$B71))</f>
        <v/>
      </c>
      <c r="J71" s="8" t="n"/>
      <c r="K71" s="8" t="n"/>
      <c r="L71" s="8" t="n"/>
      <c r="M71" s="10" t="n"/>
      <c r="N71" s="14">
        <f>IF($A71="","",SUMIFS(Spend!$E$5:$E$204,Spend!$B$5:$B$204,$A71))</f>
        <v/>
      </c>
      <c r="O71" s="15">
        <f>IF($A71="","",IFERROR($N71/$C71,0))</f>
        <v/>
      </c>
      <c r="P71" s="8" t="n"/>
      <c r="Q71" s="8" t="n"/>
      <c r="R71" s="16">
        <f>IF($E71="","",COUNTIFS($E$5:$E$204,"&lt;"&amp;$E71)+COUNTIF($E$5:$E71,$E71))</f>
        <v/>
      </c>
    </row>
    <row r="72">
      <c r="A72" s="8" t="n"/>
      <c r="B72" s="8" t="n"/>
      <c r="C72" s="9" t="n"/>
      <c r="D72" s="10" t="n"/>
      <c r="E72" s="11">
        <f>IF($A72="","",IF($D72="","",$D72-IF($G72="",Contracts!$C$3,$G72)))</f>
        <v/>
      </c>
      <c r="F72" s="12">
        <f>IF($E72="","",$E72-TODAY())</f>
        <v/>
      </c>
      <c r="G72" s="6" t="n"/>
      <c r="H72" s="13">
        <f>IF($A72="","",IF($F72="","",IF($F72&lt;0,"MISSED",IF($F72&lt;Contracts!$G$3,"ACT NOW","OK"))))</f>
        <v/>
      </c>
      <c r="I72" s="14">
        <f>IF($B72="","",SUMIFS(Contracts!$C$5:$C$204,Contracts!$B$5:$B$204,$B72))</f>
        <v/>
      </c>
      <c r="J72" s="8" t="n"/>
      <c r="K72" s="8" t="n"/>
      <c r="L72" s="8" t="n"/>
      <c r="M72" s="10" t="n"/>
      <c r="N72" s="14">
        <f>IF($A72="","",SUMIFS(Spend!$E$5:$E$204,Spend!$B$5:$B$204,$A72))</f>
        <v/>
      </c>
      <c r="O72" s="15">
        <f>IF($A72="","",IFERROR($N72/$C72,0))</f>
        <v/>
      </c>
      <c r="P72" s="8" t="n"/>
      <c r="Q72" s="8" t="n"/>
      <c r="R72" s="16">
        <f>IF($E72="","",COUNTIFS($E$5:$E$204,"&lt;"&amp;$E72)+COUNTIF($E$5:$E72,$E72))</f>
        <v/>
      </c>
    </row>
    <row r="73">
      <c r="A73" s="8" t="n"/>
      <c r="B73" s="8" t="n"/>
      <c r="C73" s="9" t="n"/>
      <c r="D73" s="10" t="n"/>
      <c r="E73" s="11">
        <f>IF($A73="","",IF($D73="","",$D73-IF($G73="",Contracts!$C$3,$G73)))</f>
        <v/>
      </c>
      <c r="F73" s="12">
        <f>IF($E73="","",$E73-TODAY())</f>
        <v/>
      </c>
      <c r="G73" s="6" t="n"/>
      <c r="H73" s="13">
        <f>IF($A73="","",IF($F73="","",IF($F73&lt;0,"MISSED",IF($F73&lt;Contracts!$G$3,"ACT NOW","OK"))))</f>
        <v/>
      </c>
      <c r="I73" s="14">
        <f>IF($B73="","",SUMIFS(Contracts!$C$5:$C$204,Contracts!$B$5:$B$204,$B73))</f>
        <v/>
      </c>
      <c r="J73" s="8" t="n"/>
      <c r="K73" s="8" t="n"/>
      <c r="L73" s="8" t="n"/>
      <c r="M73" s="10" t="n"/>
      <c r="N73" s="14">
        <f>IF($A73="","",SUMIFS(Spend!$E$5:$E$204,Spend!$B$5:$B$204,$A73))</f>
        <v/>
      </c>
      <c r="O73" s="15">
        <f>IF($A73="","",IFERROR($N73/$C73,0))</f>
        <v/>
      </c>
      <c r="P73" s="8" t="n"/>
      <c r="Q73" s="8" t="n"/>
      <c r="R73" s="16">
        <f>IF($E73="","",COUNTIFS($E$5:$E$204,"&lt;"&amp;$E73)+COUNTIF($E$5:$E73,$E73))</f>
        <v/>
      </c>
    </row>
    <row r="74">
      <c r="A74" s="8" t="n"/>
      <c r="B74" s="8" t="n"/>
      <c r="C74" s="9" t="n"/>
      <c r="D74" s="10" t="n"/>
      <c r="E74" s="11">
        <f>IF($A74="","",IF($D74="","",$D74-IF($G74="",Contracts!$C$3,$G74)))</f>
        <v/>
      </c>
      <c r="F74" s="12">
        <f>IF($E74="","",$E74-TODAY())</f>
        <v/>
      </c>
      <c r="G74" s="6" t="n"/>
      <c r="H74" s="13">
        <f>IF($A74="","",IF($F74="","",IF($F74&lt;0,"MISSED",IF($F74&lt;Contracts!$G$3,"ACT NOW","OK"))))</f>
        <v/>
      </c>
      <c r="I74" s="14">
        <f>IF($B74="","",SUMIFS(Contracts!$C$5:$C$204,Contracts!$B$5:$B$204,$B74))</f>
        <v/>
      </c>
      <c r="J74" s="8" t="n"/>
      <c r="K74" s="8" t="n"/>
      <c r="L74" s="8" t="n"/>
      <c r="M74" s="10" t="n"/>
      <c r="N74" s="14">
        <f>IF($A74="","",SUMIFS(Spend!$E$5:$E$204,Spend!$B$5:$B$204,$A74))</f>
        <v/>
      </c>
      <c r="O74" s="15">
        <f>IF($A74="","",IFERROR($N74/$C74,0))</f>
        <v/>
      </c>
      <c r="P74" s="8" t="n"/>
      <c r="Q74" s="8" t="n"/>
      <c r="R74" s="16">
        <f>IF($E74="","",COUNTIFS($E$5:$E$204,"&lt;"&amp;$E74)+COUNTIF($E$5:$E74,$E74))</f>
        <v/>
      </c>
    </row>
    <row r="75">
      <c r="A75" s="8" t="n"/>
      <c r="B75" s="8" t="n"/>
      <c r="C75" s="9" t="n"/>
      <c r="D75" s="10" t="n"/>
      <c r="E75" s="11">
        <f>IF($A75="","",IF($D75="","",$D75-IF($G75="",Contracts!$C$3,$G75)))</f>
        <v/>
      </c>
      <c r="F75" s="12">
        <f>IF($E75="","",$E75-TODAY())</f>
        <v/>
      </c>
      <c r="G75" s="6" t="n"/>
      <c r="H75" s="13">
        <f>IF($A75="","",IF($F75="","",IF($F75&lt;0,"MISSED",IF($F75&lt;Contracts!$G$3,"ACT NOW","OK"))))</f>
        <v/>
      </c>
      <c r="I75" s="14">
        <f>IF($B75="","",SUMIFS(Contracts!$C$5:$C$204,Contracts!$B$5:$B$204,$B75))</f>
        <v/>
      </c>
      <c r="J75" s="8" t="n"/>
      <c r="K75" s="8" t="n"/>
      <c r="L75" s="8" t="n"/>
      <c r="M75" s="10" t="n"/>
      <c r="N75" s="14">
        <f>IF($A75="","",SUMIFS(Spend!$E$5:$E$204,Spend!$B$5:$B$204,$A75))</f>
        <v/>
      </c>
      <c r="O75" s="15">
        <f>IF($A75="","",IFERROR($N75/$C75,0))</f>
        <v/>
      </c>
      <c r="P75" s="8" t="n"/>
      <c r="Q75" s="8" t="n"/>
      <c r="R75" s="16">
        <f>IF($E75="","",COUNTIFS($E$5:$E$204,"&lt;"&amp;$E75)+COUNTIF($E$5:$E75,$E75))</f>
        <v/>
      </c>
    </row>
    <row r="76">
      <c r="A76" s="8" t="n"/>
      <c r="B76" s="8" t="n"/>
      <c r="C76" s="9" t="n"/>
      <c r="D76" s="10" t="n"/>
      <c r="E76" s="11">
        <f>IF($A76="","",IF($D76="","",$D76-IF($G76="",Contracts!$C$3,$G76)))</f>
        <v/>
      </c>
      <c r="F76" s="12">
        <f>IF($E76="","",$E76-TODAY())</f>
        <v/>
      </c>
      <c r="G76" s="6" t="n"/>
      <c r="H76" s="13">
        <f>IF($A76="","",IF($F76="","",IF($F76&lt;0,"MISSED",IF($F76&lt;Contracts!$G$3,"ACT NOW","OK"))))</f>
        <v/>
      </c>
      <c r="I76" s="14">
        <f>IF($B76="","",SUMIFS(Contracts!$C$5:$C$204,Contracts!$B$5:$B$204,$B76))</f>
        <v/>
      </c>
      <c r="J76" s="8" t="n"/>
      <c r="K76" s="8" t="n"/>
      <c r="L76" s="8" t="n"/>
      <c r="M76" s="10" t="n"/>
      <c r="N76" s="14">
        <f>IF($A76="","",SUMIFS(Spend!$E$5:$E$204,Spend!$B$5:$B$204,$A76))</f>
        <v/>
      </c>
      <c r="O76" s="15">
        <f>IF($A76="","",IFERROR($N76/$C76,0))</f>
        <v/>
      </c>
      <c r="P76" s="8" t="n"/>
      <c r="Q76" s="8" t="n"/>
      <c r="R76" s="16">
        <f>IF($E76="","",COUNTIFS($E$5:$E$204,"&lt;"&amp;$E76)+COUNTIF($E$5:$E76,$E76))</f>
        <v/>
      </c>
    </row>
    <row r="77">
      <c r="A77" s="8" t="n"/>
      <c r="B77" s="8" t="n"/>
      <c r="C77" s="9" t="n"/>
      <c r="D77" s="10" t="n"/>
      <c r="E77" s="11">
        <f>IF($A77="","",IF($D77="","",$D77-IF($G77="",Contracts!$C$3,$G77)))</f>
        <v/>
      </c>
      <c r="F77" s="12">
        <f>IF($E77="","",$E77-TODAY())</f>
        <v/>
      </c>
      <c r="G77" s="6" t="n"/>
      <c r="H77" s="13">
        <f>IF($A77="","",IF($F77="","",IF($F77&lt;0,"MISSED",IF($F77&lt;Contracts!$G$3,"ACT NOW","OK"))))</f>
        <v/>
      </c>
      <c r="I77" s="14">
        <f>IF($B77="","",SUMIFS(Contracts!$C$5:$C$204,Contracts!$B$5:$B$204,$B77))</f>
        <v/>
      </c>
      <c r="J77" s="8" t="n"/>
      <c r="K77" s="8" t="n"/>
      <c r="L77" s="8" t="n"/>
      <c r="M77" s="10" t="n"/>
      <c r="N77" s="14">
        <f>IF($A77="","",SUMIFS(Spend!$E$5:$E$204,Spend!$B$5:$B$204,$A77))</f>
        <v/>
      </c>
      <c r="O77" s="15">
        <f>IF($A77="","",IFERROR($N77/$C77,0))</f>
        <v/>
      </c>
      <c r="P77" s="8" t="n"/>
      <c r="Q77" s="8" t="n"/>
      <c r="R77" s="16">
        <f>IF($E77="","",COUNTIFS($E$5:$E$204,"&lt;"&amp;$E77)+COUNTIF($E$5:$E77,$E77))</f>
        <v/>
      </c>
    </row>
    <row r="78">
      <c r="A78" s="8" t="n"/>
      <c r="B78" s="8" t="n"/>
      <c r="C78" s="9" t="n"/>
      <c r="D78" s="10" t="n"/>
      <c r="E78" s="11">
        <f>IF($A78="","",IF($D78="","",$D78-IF($G78="",Contracts!$C$3,$G78)))</f>
        <v/>
      </c>
      <c r="F78" s="12">
        <f>IF($E78="","",$E78-TODAY())</f>
        <v/>
      </c>
      <c r="G78" s="6" t="n"/>
      <c r="H78" s="13">
        <f>IF($A78="","",IF($F78="","",IF($F78&lt;0,"MISSED",IF($F78&lt;Contracts!$G$3,"ACT NOW","OK"))))</f>
        <v/>
      </c>
      <c r="I78" s="14">
        <f>IF($B78="","",SUMIFS(Contracts!$C$5:$C$204,Contracts!$B$5:$B$204,$B78))</f>
        <v/>
      </c>
      <c r="J78" s="8" t="n"/>
      <c r="K78" s="8" t="n"/>
      <c r="L78" s="8" t="n"/>
      <c r="M78" s="10" t="n"/>
      <c r="N78" s="14">
        <f>IF($A78="","",SUMIFS(Spend!$E$5:$E$204,Spend!$B$5:$B$204,$A78))</f>
        <v/>
      </c>
      <c r="O78" s="15">
        <f>IF($A78="","",IFERROR($N78/$C78,0))</f>
        <v/>
      </c>
      <c r="P78" s="8" t="n"/>
      <c r="Q78" s="8" t="n"/>
      <c r="R78" s="16">
        <f>IF($E78="","",COUNTIFS($E$5:$E$204,"&lt;"&amp;$E78)+COUNTIF($E$5:$E78,$E78))</f>
        <v/>
      </c>
    </row>
    <row r="79">
      <c r="A79" s="8" t="n"/>
      <c r="B79" s="8" t="n"/>
      <c r="C79" s="9" t="n"/>
      <c r="D79" s="10" t="n"/>
      <c r="E79" s="11">
        <f>IF($A79="","",IF($D79="","",$D79-IF($G79="",Contracts!$C$3,$G79)))</f>
        <v/>
      </c>
      <c r="F79" s="12">
        <f>IF($E79="","",$E79-TODAY())</f>
        <v/>
      </c>
      <c r="G79" s="6" t="n"/>
      <c r="H79" s="13">
        <f>IF($A79="","",IF($F79="","",IF($F79&lt;0,"MISSED",IF($F79&lt;Contracts!$G$3,"ACT NOW","OK"))))</f>
        <v/>
      </c>
      <c r="I79" s="14">
        <f>IF($B79="","",SUMIFS(Contracts!$C$5:$C$204,Contracts!$B$5:$B$204,$B79))</f>
        <v/>
      </c>
      <c r="J79" s="8" t="n"/>
      <c r="K79" s="8" t="n"/>
      <c r="L79" s="8" t="n"/>
      <c r="M79" s="10" t="n"/>
      <c r="N79" s="14">
        <f>IF($A79="","",SUMIFS(Spend!$E$5:$E$204,Spend!$B$5:$B$204,$A79))</f>
        <v/>
      </c>
      <c r="O79" s="15">
        <f>IF($A79="","",IFERROR($N79/$C79,0))</f>
        <v/>
      </c>
      <c r="P79" s="8" t="n"/>
      <c r="Q79" s="8" t="n"/>
      <c r="R79" s="16">
        <f>IF($E79="","",COUNTIFS($E$5:$E$204,"&lt;"&amp;$E79)+COUNTIF($E$5:$E79,$E79))</f>
        <v/>
      </c>
    </row>
    <row r="80">
      <c r="A80" s="8" t="n"/>
      <c r="B80" s="8" t="n"/>
      <c r="C80" s="9" t="n"/>
      <c r="D80" s="10" t="n"/>
      <c r="E80" s="11">
        <f>IF($A80="","",IF($D80="","",$D80-IF($G80="",Contracts!$C$3,$G80)))</f>
        <v/>
      </c>
      <c r="F80" s="12">
        <f>IF($E80="","",$E80-TODAY())</f>
        <v/>
      </c>
      <c r="G80" s="6" t="n"/>
      <c r="H80" s="13">
        <f>IF($A80="","",IF($F80="","",IF($F80&lt;0,"MISSED",IF($F80&lt;Contracts!$G$3,"ACT NOW","OK"))))</f>
        <v/>
      </c>
      <c r="I80" s="14">
        <f>IF($B80="","",SUMIFS(Contracts!$C$5:$C$204,Contracts!$B$5:$B$204,$B80))</f>
        <v/>
      </c>
      <c r="J80" s="8" t="n"/>
      <c r="K80" s="8" t="n"/>
      <c r="L80" s="8" t="n"/>
      <c r="M80" s="10" t="n"/>
      <c r="N80" s="14">
        <f>IF($A80="","",SUMIFS(Spend!$E$5:$E$204,Spend!$B$5:$B$204,$A80))</f>
        <v/>
      </c>
      <c r="O80" s="15">
        <f>IF($A80="","",IFERROR($N80/$C80,0))</f>
        <v/>
      </c>
      <c r="P80" s="8" t="n"/>
      <c r="Q80" s="8" t="n"/>
      <c r="R80" s="16">
        <f>IF($E80="","",COUNTIFS($E$5:$E$204,"&lt;"&amp;$E80)+COUNTIF($E$5:$E80,$E80))</f>
        <v/>
      </c>
    </row>
    <row r="81">
      <c r="A81" s="8" t="n"/>
      <c r="B81" s="8" t="n"/>
      <c r="C81" s="9" t="n"/>
      <c r="D81" s="10" t="n"/>
      <c r="E81" s="11">
        <f>IF($A81="","",IF($D81="","",$D81-IF($G81="",Contracts!$C$3,$G81)))</f>
        <v/>
      </c>
      <c r="F81" s="12">
        <f>IF($E81="","",$E81-TODAY())</f>
        <v/>
      </c>
      <c r="G81" s="6" t="n"/>
      <c r="H81" s="13">
        <f>IF($A81="","",IF($F81="","",IF($F81&lt;0,"MISSED",IF($F81&lt;Contracts!$G$3,"ACT NOW","OK"))))</f>
        <v/>
      </c>
      <c r="I81" s="14">
        <f>IF($B81="","",SUMIFS(Contracts!$C$5:$C$204,Contracts!$B$5:$B$204,$B81))</f>
        <v/>
      </c>
      <c r="J81" s="8" t="n"/>
      <c r="K81" s="8" t="n"/>
      <c r="L81" s="8" t="n"/>
      <c r="M81" s="10" t="n"/>
      <c r="N81" s="14">
        <f>IF($A81="","",SUMIFS(Spend!$E$5:$E$204,Spend!$B$5:$B$204,$A81))</f>
        <v/>
      </c>
      <c r="O81" s="15">
        <f>IF($A81="","",IFERROR($N81/$C81,0))</f>
        <v/>
      </c>
      <c r="P81" s="8" t="n"/>
      <c r="Q81" s="8" t="n"/>
      <c r="R81" s="16">
        <f>IF($E81="","",COUNTIFS($E$5:$E$204,"&lt;"&amp;$E81)+COUNTIF($E$5:$E81,$E81))</f>
        <v/>
      </c>
    </row>
    <row r="82">
      <c r="A82" s="8" t="n"/>
      <c r="B82" s="8" t="n"/>
      <c r="C82" s="9" t="n"/>
      <c r="D82" s="10" t="n"/>
      <c r="E82" s="11">
        <f>IF($A82="","",IF($D82="","",$D82-IF($G82="",Contracts!$C$3,$G82)))</f>
        <v/>
      </c>
      <c r="F82" s="12">
        <f>IF($E82="","",$E82-TODAY())</f>
        <v/>
      </c>
      <c r="G82" s="6" t="n"/>
      <c r="H82" s="13">
        <f>IF($A82="","",IF($F82="","",IF($F82&lt;0,"MISSED",IF($F82&lt;Contracts!$G$3,"ACT NOW","OK"))))</f>
        <v/>
      </c>
      <c r="I82" s="14">
        <f>IF($B82="","",SUMIFS(Contracts!$C$5:$C$204,Contracts!$B$5:$B$204,$B82))</f>
        <v/>
      </c>
      <c r="J82" s="8" t="n"/>
      <c r="K82" s="8" t="n"/>
      <c r="L82" s="8" t="n"/>
      <c r="M82" s="10" t="n"/>
      <c r="N82" s="14">
        <f>IF($A82="","",SUMIFS(Spend!$E$5:$E$204,Spend!$B$5:$B$204,$A82))</f>
        <v/>
      </c>
      <c r="O82" s="15">
        <f>IF($A82="","",IFERROR($N82/$C82,0))</f>
        <v/>
      </c>
      <c r="P82" s="8" t="n"/>
      <c r="Q82" s="8" t="n"/>
      <c r="R82" s="16">
        <f>IF($E82="","",COUNTIFS($E$5:$E$204,"&lt;"&amp;$E82)+COUNTIF($E$5:$E82,$E82))</f>
        <v/>
      </c>
    </row>
    <row r="83">
      <c r="A83" s="8" t="n"/>
      <c r="B83" s="8" t="n"/>
      <c r="C83" s="9" t="n"/>
      <c r="D83" s="10" t="n"/>
      <c r="E83" s="11">
        <f>IF($A83="","",IF($D83="","",$D83-IF($G83="",Contracts!$C$3,$G83)))</f>
        <v/>
      </c>
      <c r="F83" s="12">
        <f>IF($E83="","",$E83-TODAY())</f>
        <v/>
      </c>
      <c r="G83" s="6" t="n"/>
      <c r="H83" s="13">
        <f>IF($A83="","",IF($F83="","",IF($F83&lt;0,"MISSED",IF($F83&lt;Contracts!$G$3,"ACT NOW","OK"))))</f>
        <v/>
      </c>
      <c r="I83" s="14">
        <f>IF($B83="","",SUMIFS(Contracts!$C$5:$C$204,Contracts!$B$5:$B$204,$B83))</f>
        <v/>
      </c>
      <c r="J83" s="8" t="n"/>
      <c r="K83" s="8" t="n"/>
      <c r="L83" s="8" t="n"/>
      <c r="M83" s="10" t="n"/>
      <c r="N83" s="14">
        <f>IF($A83="","",SUMIFS(Spend!$E$5:$E$204,Spend!$B$5:$B$204,$A83))</f>
        <v/>
      </c>
      <c r="O83" s="15">
        <f>IF($A83="","",IFERROR($N83/$C83,0))</f>
        <v/>
      </c>
      <c r="P83" s="8" t="n"/>
      <c r="Q83" s="8" t="n"/>
      <c r="R83" s="16">
        <f>IF($E83="","",COUNTIFS($E$5:$E$204,"&lt;"&amp;$E83)+COUNTIF($E$5:$E83,$E83))</f>
        <v/>
      </c>
    </row>
    <row r="84">
      <c r="A84" s="8" t="n"/>
      <c r="B84" s="8" t="n"/>
      <c r="C84" s="9" t="n"/>
      <c r="D84" s="10" t="n"/>
      <c r="E84" s="11">
        <f>IF($A84="","",IF($D84="","",$D84-IF($G84="",Contracts!$C$3,$G84)))</f>
        <v/>
      </c>
      <c r="F84" s="12">
        <f>IF($E84="","",$E84-TODAY())</f>
        <v/>
      </c>
      <c r="G84" s="6" t="n"/>
      <c r="H84" s="13">
        <f>IF($A84="","",IF($F84="","",IF($F84&lt;0,"MISSED",IF($F84&lt;Contracts!$G$3,"ACT NOW","OK"))))</f>
        <v/>
      </c>
      <c r="I84" s="14">
        <f>IF($B84="","",SUMIFS(Contracts!$C$5:$C$204,Contracts!$B$5:$B$204,$B84))</f>
        <v/>
      </c>
      <c r="J84" s="8" t="n"/>
      <c r="K84" s="8" t="n"/>
      <c r="L84" s="8" t="n"/>
      <c r="M84" s="10" t="n"/>
      <c r="N84" s="14">
        <f>IF($A84="","",SUMIFS(Spend!$E$5:$E$204,Spend!$B$5:$B$204,$A84))</f>
        <v/>
      </c>
      <c r="O84" s="15">
        <f>IF($A84="","",IFERROR($N84/$C84,0))</f>
        <v/>
      </c>
      <c r="P84" s="8" t="n"/>
      <c r="Q84" s="8" t="n"/>
      <c r="R84" s="16">
        <f>IF($E84="","",COUNTIFS($E$5:$E$204,"&lt;"&amp;$E84)+COUNTIF($E$5:$E84,$E84))</f>
        <v/>
      </c>
    </row>
    <row r="85">
      <c r="A85" s="8" t="n"/>
      <c r="B85" s="8" t="n"/>
      <c r="C85" s="9" t="n"/>
      <c r="D85" s="10" t="n"/>
      <c r="E85" s="11">
        <f>IF($A85="","",IF($D85="","",$D85-IF($G85="",Contracts!$C$3,$G85)))</f>
        <v/>
      </c>
      <c r="F85" s="12">
        <f>IF($E85="","",$E85-TODAY())</f>
        <v/>
      </c>
      <c r="G85" s="6" t="n"/>
      <c r="H85" s="13">
        <f>IF($A85="","",IF($F85="","",IF($F85&lt;0,"MISSED",IF($F85&lt;Contracts!$G$3,"ACT NOW","OK"))))</f>
        <v/>
      </c>
      <c r="I85" s="14">
        <f>IF($B85="","",SUMIFS(Contracts!$C$5:$C$204,Contracts!$B$5:$B$204,$B85))</f>
        <v/>
      </c>
      <c r="J85" s="8" t="n"/>
      <c r="K85" s="8" t="n"/>
      <c r="L85" s="8" t="n"/>
      <c r="M85" s="10" t="n"/>
      <c r="N85" s="14">
        <f>IF($A85="","",SUMIFS(Spend!$E$5:$E$204,Spend!$B$5:$B$204,$A85))</f>
        <v/>
      </c>
      <c r="O85" s="15">
        <f>IF($A85="","",IFERROR($N85/$C85,0))</f>
        <v/>
      </c>
      <c r="P85" s="8" t="n"/>
      <c r="Q85" s="8" t="n"/>
      <c r="R85" s="16">
        <f>IF($E85="","",COUNTIFS($E$5:$E$204,"&lt;"&amp;$E85)+COUNTIF($E$5:$E85,$E85))</f>
        <v/>
      </c>
    </row>
    <row r="86">
      <c r="A86" s="8" t="n"/>
      <c r="B86" s="8" t="n"/>
      <c r="C86" s="9" t="n"/>
      <c r="D86" s="10" t="n"/>
      <c r="E86" s="11">
        <f>IF($A86="","",IF($D86="","",$D86-IF($G86="",Contracts!$C$3,$G86)))</f>
        <v/>
      </c>
      <c r="F86" s="12">
        <f>IF($E86="","",$E86-TODAY())</f>
        <v/>
      </c>
      <c r="G86" s="6" t="n"/>
      <c r="H86" s="13">
        <f>IF($A86="","",IF($F86="","",IF($F86&lt;0,"MISSED",IF($F86&lt;Contracts!$G$3,"ACT NOW","OK"))))</f>
        <v/>
      </c>
      <c r="I86" s="14">
        <f>IF($B86="","",SUMIFS(Contracts!$C$5:$C$204,Contracts!$B$5:$B$204,$B86))</f>
        <v/>
      </c>
      <c r="J86" s="8" t="n"/>
      <c r="K86" s="8" t="n"/>
      <c r="L86" s="8" t="n"/>
      <c r="M86" s="10" t="n"/>
      <c r="N86" s="14">
        <f>IF($A86="","",SUMIFS(Spend!$E$5:$E$204,Spend!$B$5:$B$204,$A86))</f>
        <v/>
      </c>
      <c r="O86" s="15">
        <f>IF($A86="","",IFERROR($N86/$C86,0))</f>
        <v/>
      </c>
      <c r="P86" s="8" t="n"/>
      <c r="Q86" s="8" t="n"/>
      <c r="R86" s="16">
        <f>IF($E86="","",COUNTIFS($E$5:$E$204,"&lt;"&amp;$E86)+COUNTIF($E$5:$E86,$E86))</f>
        <v/>
      </c>
    </row>
    <row r="87">
      <c r="A87" s="8" t="n"/>
      <c r="B87" s="8" t="n"/>
      <c r="C87" s="9" t="n"/>
      <c r="D87" s="10" t="n"/>
      <c r="E87" s="11">
        <f>IF($A87="","",IF($D87="","",$D87-IF($G87="",Contracts!$C$3,$G87)))</f>
        <v/>
      </c>
      <c r="F87" s="12">
        <f>IF($E87="","",$E87-TODAY())</f>
        <v/>
      </c>
      <c r="G87" s="6" t="n"/>
      <c r="H87" s="13">
        <f>IF($A87="","",IF($F87="","",IF($F87&lt;0,"MISSED",IF($F87&lt;Contracts!$G$3,"ACT NOW","OK"))))</f>
        <v/>
      </c>
      <c r="I87" s="14">
        <f>IF($B87="","",SUMIFS(Contracts!$C$5:$C$204,Contracts!$B$5:$B$204,$B87))</f>
        <v/>
      </c>
      <c r="J87" s="8" t="n"/>
      <c r="K87" s="8" t="n"/>
      <c r="L87" s="8" t="n"/>
      <c r="M87" s="10" t="n"/>
      <c r="N87" s="14">
        <f>IF($A87="","",SUMIFS(Spend!$E$5:$E$204,Spend!$B$5:$B$204,$A87))</f>
        <v/>
      </c>
      <c r="O87" s="15">
        <f>IF($A87="","",IFERROR($N87/$C87,0))</f>
        <v/>
      </c>
      <c r="P87" s="8" t="n"/>
      <c r="Q87" s="8" t="n"/>
      <c r="R87" s="16">
        <f>IF($E87="","",COUNTIFS($E$5:$E$204,"&lt;"&amp;$E87)+COUNTIF($E$5:$E87,$E87))</f>
        <v/>
      </c>
    </row>
    <row r="88">
      <c r="A88" s="8" t="n"/>
      <c r="B88" s="8" t="n"/>
      <c r="C88" s="9" t="n"/>
      <c r="D88" s="10" t="n"/>
      <c r="E88" s="11">
        <f>IF($A88="","",IF($D88="","",$D88-IF($G88="",Contracts!$C$3,$G88)))</f>
        <v/>
      </c>
      <c r="F88" s="12">
        <f>IF($E88="","",$E88-TODAY())</f>
        <v/>
      </c>
      <c r="G88" s="6" t="n"/>
      <c r="H88" s="13">
        <f>IF($A88="","",IF($F88="","",IF($F88&lt;0,"MISSED",IF($F88&lt;Contracts!$G$3,"ACT NOW","OK"))))</f>
        <v/>
      </c>
      <c r="I88" s="14">
        <f>IF($B88="","",SUMIFS(Contracts!$C$5:$C$204,Contracts!$B$5:$B$204,$B88))</f>
        <v/>
      </c>
      <c r="J88" s="8" t="n"/>
      <c r="K88" s="8" t="n"/>
      <c r="L88" s="8" t="n"/>
      <c r="M88" s="10" t="n"/>
      <c r="N88" s="14">
        <f>IF($A88="","",SUMIFS(Spend!$E$5:$E$204,Spend!$B$5:$B$204,$A88))</f>
        <v/>
      </c>
      <c r="O88" s="15">
        <f>IF($A88="","",IFERROR($N88/$C88,0))</f>
        <v/>
      </c>
      <c r="P88" s="8" t="n"/>
      <c r="Q88" s="8" t="n"/>
      <c r="R88" s="16">
        <f>IF($E88="","",COUNTIFS($E$5:$E$204,"&lt;"&amp;$E88)+COUNTIF($E$5:$E88,$E88))</f>
        <v/>
      </c>
    </row>
    <row r="89">
      <c r="A89" s="8" t="n"/>
      <c r="B89" s="8" t="n"/>
      <c r="C89" s="9" t="n"/>
      <c r="D89" s="10" t="n"/>
      <c r="E89" s="11">
        <f>IF($A89="","",IF($D89="","",$D89-IF($G89="",Contracts!$C$3,$G89)))</f>
        <v/>
      </c>
      <c r="F89" s="12">
        <f>IF($E89="","",$E89-TODAY())</f>
        <v/>
      </c>
      <c r="G89" s="6" t="n"/>
      <c r="H89" s="13">
        <f>IF($A89="","",IF($F89="","",IF($F89&lt;0,"MISSED",IF($F89&lt;Contracts!$G$3,"ACT NOW","OK"))))</f>
        <v/>
      </c>
      <c r="I89" s="14">
        <f>IF($B89="","",SUMIFS(Contracts!$C$5:$C$204,Contracts!$B$5:$B$204,$B89))</f>
        <v/>
      </c>
      <c r="J89" s="8" t="n"/>
      <c r="K89" s="8" t="n"/>
      <c r="L89" s="8" t="n"/>
      <c r="M89" s="10" t="n"/>
      <c r="N89" s="14">
        <f>IF($A89="","",SUMIFS(Spend!$E$5:$E$204,Spend!$B$5:$B$204,$A89))</f>
        <v/>
      </c>
      <c r="O89" s="15">
        <f>IF($A89="","",IFERROR($N89/$C89,0))</f>
        <v/>
      </c>
      <c r="P89" s="8" t="n"/>
      <c r="Q89" s="8" t="n"/>
      <c r="R89" s="16">
        <f>IF($E89="","",COUNTIFS($E$5:$E$204,"&lt;"&amp;$E89)+COUNTIF($E$5:$E89,$E89))</f>
        <v/>
      </c>
    </row>
    <row r="90">
      <c r="A90" s="8" t="n"/>
      <c r="B90" s="8" t="n"/>
      <c r="C90" s="9" t="n"/>
      <c r="D90" s="10" t="n"/>
      <c r="E90" s="11">
        <f>IF($A90="","",IF($D90="","",$D90-IF($G90="",Contracts!$C$3,$G90)))</f>
        <v/>
      </c>
      <c r="F90" s="12">
        <f>IF($E90="","",$E90-TODAY())</f>
        <v/>
      </c>
      <c r="G90" s="6" t="n"/>
      <c r="H90" s="13">
        <f>IF($A90="","",IF($F90="","",IF($F90&lt;0,"MISSED",IF($F90&lt;Contracts!$G$3,"ACT NOW","OK"))))</f>
        <v/>
      </c>
      <c r="I90" s="14">
        <f>IF($B90="","",SUMIFS(Contracts!$C$5:$C$204,Contracts!$B$5:$B$204,$B90))</f>
        <v/>
      </c>
      <c r="J90" s="8" t="n"/>
      <c r="K90" s="8" t="n"/>
      <c r="L90" s="8" t="n"/>
      <c r="M90" s="10" t="n"/>
      <c r="N90" s="14">
        <f>IF($A90="","",SUMIFS(Spend!$E$5:$E$204,Spend!$B$5:$B$204,$A90))</f>
        <v/>
      </c>
      <c r="O90" s="15">
        <f>IF($A90="","",IFERROR($N90/$C90,0))</f>
        <v/>
      </c>
      <c r="P90" s="8" t="n"/>
      <c r="Q90" s="8" t="n"/>
      <c r="R90" s="16">
        <f>IF($E90="","",COUNTIFS($E$5:$E$204,"&lt;"&amp;$E90)+COUNTIF($E$5:$E90,$E90))</f>
        <v/>
      </c>
    </row>
    <row r="91">
      <c r="A91" s="8" t="n"/>
      <c r="B91" s="8" t="n"/>
      <c r="C91" s="9" t="n"/>
      <c r="D91" s="10" t="n"/>
      <c r="E91" s="11">
        <f>IF($A91="","",IF($D91="","",$D91-IF($G91="",Contracts!$C$3,$G91)))</f>
        <v/>
      </c>
      <c r="F91" s="12">
        <f>IF($E91="","",$E91-TODAY())</f>
        <v/>
      </c>
      <c r="G91" s="6" t="n"/>
      <c r="H91" s="13">
        <f>IF($A91="","",IF($F91="","",IF($F91&lt;0,"MISSED",IF($F91&lt;Contracts!$G$3,"ACT NOW","OK"))))</f>
        <v/>
      </c>
      <c r="I91" s="14">
        <f>IF($B91="","",SUMIFS(Contracts!$C$5:$C$204,Contracts!$B$5:$B$204,$B91))</f>
        <v/>
      </c>
      <c r="J91" s="8" t="n"/>
      <c r="K91" s="8" t="n"/>
      <c r="L91" s="8" t="n"/>
      <c r="M91" s="10" t="n"/>
      <c r="N91" s="14">
        <f>IF($A91="","",SUMIFS(Spend!$E$5:$E$204,Spend!$B$5:$B$204,$A91))</f>
        <v/>
      </c>
      <c r="O91" s="15">
        <f>IF($A91="","",IFERROR($N91/$C91,0))</f>
        <v/>
      </c>
      <c r="P91" s="8" t="n"/>
      <c r="Q91" s="8" t="n"/>
      <c r="R91" s="16">
        <f>IF($E91="","",COUNTIFS($E$5:$E$204,"&lt;"&amp;$E91)+COUNTIF($E$5:$E91,$E91))</f>
        <v/>
      </c>
    </row>
    <row r="92">
      <c r="A92" s="8" t="n"/>
      <c r="B92" s="8" t="n"/>
      <c r="C92" s="9" t="n"/>
      <c r="D92" s="10" t="n"/>
      <c r="E92" s="11">
        <f>IF($A92="","",IF($D92="","",$D92-IF($G92="",Contracts!$C$3,$G92)))</f>
        <v/>
      </c>
      <c r="F92" s="12">
        <f>IF($E92="","",$E92-TODAY())</f>
        <v/>
      </c>
      <c r="G92" s="6" t="n"/>
      <c r="H92" s="13">
        <f>IF($A92="","",IF($F92="","",IF($F92&lt;0,"MISSED",IF($F92&lt;Contracts!$G$3,"ACT NOW","OK"))))</f>
        <v/>
      </c>
      <c r="I92" s="14">
        <f>IF($B92="","",SUMIFS(Contracts!$C$5:$C$204,Contracts!$B$5:$B$204,$B92))</f>
        <v/>
      </c>
      <c r="J92" s="8" t="n"/>
      <c r="K92" s="8" t="n"/>
      <c r="L92" s="8" t="n"/>
      <c r="M92" s="10" t="n"/>
      <c r="N92" s="14">
        <f>IF($A92="","",SUMIFS(Spend!$E$5:$E$204,Spend!$B$5:$B$204,$A92))</f>
        <v/>
      </c>
      <c r="O92" s="15">
        <f>IF($A92="","",IFERROR($N92/$C92,0))</f>
        <v/>
      </c>
      <c r="P92" s="8" t="n"/>
      <c r="Q92" s="8" t="n"/>
      <c r="R92" s="16">
        <f>IF($E92="","",COUNTIFS($E$5:$E$204,"&lt;"&amp;$E92)+COUNTIF($E$5:$E92,$E92))</f>
        <v/>
      </c>
    </row>
    <row r="93">
      <c r="A93" s="8" t="n"/>
      <c r="B93" s="8" t="n"/>
      <c r="C93" s="9" t="n"/>
      <c r="D93" s="10" t="n"/>
      <c r="E93" s="11">
        <f>IF($A93="","",IF($D93="","",$D93-IF($G93="",Contracts!$C$3,$G93)))</f>
        <v/>
      </c>
      <c r="F93" s="12">
        <f>IF($E93="","",$E93-TODAY())</f>
        <v/>
      </c>
      <c r="G93" s="6" t="n"/>
      <c r="H93" s="13">
        <f>IF($A93="","",IF($F93="","",IF($F93&lt;0,"MISSED",IF($F93&lt;Contracts!$G$3,"ACT NOW","OK"))))</f>
        <v/>
      </c>
      <c r="I93" s="14">
        <f>IF($B93="","",SUMIFS(Contracts!$C$5:$C$204,Contracts!$B$5:$B$204,$B93))</f>
        <v/>
      </c>
      <c r="J93" s="8" t="n"/>
      <c r="K93" s="8" t="n"/>
      <c r="L93" s="8" t="n"/>
      <c r="M93" s="10" t="n"/>
      <c r="N93" s="14">
        <f>IF($A93="","",SUMIFS(Spend!$E$5:$E$204,Spend!$B$5:$B$204,$A93))</f>
        <v/>
      </c>
      <c r="O93" s="15">
        <f>IF($A93="","",IFERROR($N93/$C93,0))</f>
        <v/>
      </c>
      <c r="P93" s="8" t="n"/>
      <c r="Q93" s="8" t="n"/>
      <c r="R93" s="16">
        <f>IF($E93="","",COUNTIFS($E$5:$E$204,"&lt;"&amp;$E93)+COUNTIF($E$5:$E93,$E93))</f>
        <v/>
      </c>
    </row>
    <row r="94">
      <c r="A94" s="8" t="n"/>
      <c r="B94" s="8" t="n"/>
      <c r="C94" s="9" t="n"/>
      <c r="D94" s="10" t="n"/>
      <c r="E94" s="11">
        <f>IF($A94="","",IF($D94="","",$D94-IF($G94="",Contracts!$C$3,$G94)))</f>
        <v/>
      </c>
      <c r="F94" s="12">
        <f>IF($E94="","",$E94-TODAY())</f>
        <v/>
      </c>
      <c r="G94" s="6" t="n"/>
      <c r="H94" s="13">
        <f>IF($A94="","",IF($F94="","",IF($F94&lt;0,"MISSED",IF($F94&lt;Contracts!$G$3,"ACT NOW","OK"))))</f>
        <v/>
      </c>
      <c r="I94" s="14">
        <f>IF($B94="","",SUMIFS(Contracts!$C$5:$C$204,Contracts!$B$5:$B$204,$B94))</f>
        <v/>
      </c>
      <c r="J94" s="8" t="n"/>
      <c r="K94" s="8" t="n"/>
      <c r="L94" s="8" t="n"/>
      <c r="M94" s="10" t="n"/>
      <c r="N94" s="14">
        <f>IF($A94="","",SUMIFS(Spend!$E$5:$E$204,Spend!$B$5:$B$204,$A94))</f>
        <v/>
      </c>
      <c r="O94" s="15">
        <f>IF($A94="","",IFERROR($N94/$C94,0))</f>
        <v/>
      </c>
      <c r="P94" s="8" t="n"/>
      <c r="Q94" s="8" t="n"/>
      <c r="R94" s="16">
        <f>IF($E94="","",COUNTIFS($E$5:$E$204,"&lt;"&amp;$E94)+COUNTIF($E$5:$E94,$E94))</f>
        <v/>
      </c>
    </row>
    <row r="95">
      <c r="A95" s="8" t="n"/>
      <c r="B95" s="8" t="n"/>
      <c r="C95" s="9" t="n"/>
      <c r="D95" s="10" t="n"/>
      <c r="E95" s="11">
        <f>IF($A95="","",IF($D95="","",$D95-IF($G95="",Contracts!$C$3,$G95)))</f>
        <v/>
      </c>
      <c r="F95" s="12">
        <f>IF($E95="","",$E95-TODAY())</f>
        <v/>
      </c>
      <c r="G95" s="6" t="n"/>
      <c r="H95" s="13">
        <f>IF($A95="","",IF($F95="","",IF($F95&lt;0,"MISSED",IF($F95&lt;Contracts!$G$3,"ACT NOW","OK"))))</f>
        <v/>
      </c>
      <c r="I95" s="14">
        <f>IF($B95="","",SUMIFS(Contracts!$C$5:$C$204,Contracts!$B$5:$B$204,$B95))</f>
        <v/>
      </c>
      <c r="J95" s="8" t="n"/>
      <c r="K95" s="8" t="n"/>
      <c r="L95" s="8" t="n"/>
      <c r="M95" s="10" t="n"/>
      <c r="N95" s="14">
        <f>IF($A95="","",SUMIFS(Spend!$E$5:$E$204,Spend!$B$5:$B$204,$A95))</f>
        <v/>
      </c>
      <c r="O95" s="15">
        <f>IF($A95="","",IFERROR($N95/$C95,0))</f>
        <v/>
      </c>
      <c r="P95" s="8" t="n"/>
      <c r="Q95" s="8" t="n"/>
      <c r="R95" s="16">
        <f>IF($E95="","",COUNTIFS($E$5:$E$204,"&lt;"&amp;$E95)+COUNTIF($E$5:$E95,$E95))</f>
        <v/>
      </c>
    </row>
    <row r="96">
      <c r="A96" s="8" t="n"/>
      <c r="B96" s="8" t="n"/>
      <c r="C96" s="9" t="n"/>
      <c r="D96" s="10" t="n"/>
      <c r="E96" s="11">
        <f>IF($A96="","",IF($D96="","",$D96-IF($G96="",Contracts!$C$3,$G96)))</f>
        <v/>
      </c>
      <c r="F96" s="12">
        <f>IF($E96="","",$E96-TODAY())</f>
        <v/>
      </c>
      <c r="G96" s="6" t="n"/>
      <c r="H96" s="13">
        <f>IF($A96="","",IF($F96="","",IF($F96&lt;0,"MISSED",IF($F96&lt;Contracts!$G$3,"ACT NOW","OK"))))</f>
        <v/>
      </c>
      <c r="I96" s="14">
        <f>IF($B96="","",SUMIFS(Contracts!$C$5:$C$204,Contracts!$B$5:$B$204,$B96))</f>
        <v/>
      </c>
      <c r="J96" s="8" t="n"/>
      <c r="K96" s="8" t="n"/>
      <c r="L96" s="8" t="n"/>
      <c r="M96" s="10" t="n"/>
      <c r="N96" s="14">
        <f>IF($A96="","",SUMIFS(Spend!$E$5:$E$204,Spend!$B$5:$B$204,$A96))</f>
        <v/>
      </c>
      <c r="O96" s="15">
        <f>IF($A96="","",IFERROR($N96/$C96,0))</f>
        <v/>
      </c>
      <c r="P96" s="8" t="n"/>
      <c r="Q96" s="8" t="n"/>
      <c r="R96" s="16">
        <f>IF($E96="","",COUNTIFS($E$5:$E$204,"&lt;"&amp;$E96)+COUNTIF($E$5:$E96,$E96))</f>
        <v/>
      </c>
    </row>
    <row r="97">
      <c r="A97" s="8" t="n"/>
      <c r="B97" s="8" t="n"/>
      <c r="C97" s="9" t="n"/>
      <c r="D97" s="10" t="n"/>
      <c r="E97" s="11">
        <f>IF($A97="","",IF($D97="","",$D97-IF($G97="",Contracts!$C$3,$G97)))</f>
        <v/>
      </c>
      <c r="F97" s="12">
        <f>IF($E97="","",$E97-TODAY())</f>
        <v/>
      </c>
      <c r="G97" s="6" t="n"/>
      <c r="H97" s="13">
        <f>IF($A97="","",IF($F97="","",IF($F97&lt;0,"MISSED",IF($F97&lt;Contracts!$G$3,"ACT NOW","OK"))))</f>
        <v/>
      </c>
      <c r="I97" s="14">
        <f>IF($B97="","",SUMIFS(Contracts!$C$5:$C$204,Contracts!$B$5:$B$204,$B97))</f>
        <v/>
      </c>
      <c r="J97" s="8" t="n"/>
      <c r="K97" s="8" t="n"/>
      <c r="L97" s="8" t="n"/>
      <c r="M97" s="10" t="n"/>
      <c r="N97" s="14">
        <f>IF($A97="","",SUMIFS(Spend!$E$5:$E$204,Spend!$B$5:$B$204,$A97))</f>
        <v/>
      </c>
      <c r="O97" s="15">
        <f>IF($A97="","",IFERROR($N97/$C97,0))</f>
        <v/>
      </c>
      <c r="P97" s="8" t="n"/>
      <c r="Q97" s="8" t="n"/>
      <c r="R97" s="16">
        <f>IF($E97="","",COUNTIFS($E$5:$E$204,"&lt;"&amp;$E97)+COUNTIF($E$5:$E97,$E97))</f>
        <v/>
      </c>
    </row>
    <row r="98">
      <c r="A98" s="8" t="n"/>
      <c r="B98" s="8" t="n"/>
      <c r="C98" s="9" t="n"/>
      <c r="D98" s="10" t="n"/>
      <c r="E98" s="11">
        <f>IF($A98="","",IF($D98="","",$D98-IF($G98="",Contracts!$C$3,$G98)))</f>
        <v/>
      </c>
      <c r="F98" s="12">
        <f>IF($E98="","",$E98-TODAY())</f>
        <v/>
      </c>
      <c r="G98" s="6" t="n"/>
      <c r="H98" s="13">
        <f>IF($A98="","",IF($F98="","",IF($F98&lt;0,"MISSED",IF($F98&lt;Contracts!$G$3,"ACT NOW","OK"))))</f>
        <v/>
      </c>
      <c r="I98" s="14">
        <f>IF($B98="","",SUMIFS(Contracts!$C$5:$C$204,Contracts!$B$5:$B$204,$B98))</f>
        <v/>
      </c>
      <c r="J98" s="8" t="n"/>
      <c r="K98" s="8" t="n"/>
      <c r="L98" s="8" t="n"/>
      <c r="M98" s="10" t="n"/>
      <c r="N98" s="14">
        <f>IF($A98="","",SUMIFS(Spend!$E$5:$E$204,Spend!$B$5:$B$204,$A98))</f>
        <v/>
      </c>
      <c r="O98" s="15">
        <f>IF($A98="","",IFERROR($N98/$C98,0))</f>
        <v/>
      </c>
      <c r="P98" s="8" t="n"/>
      <c r="Q98" s="8" t="n"/>
      <c r="R98" s="16">
        <f>IF($E98="","",COUNTIFS($E$5:$E$204,"&lt;"&amp;$E98)+COUNTIF($E$5:$E98,$E98))</f>
        <v/>
      </c>
    </row>
    <row r="99">
      <c r="A99" s="8" t="n"/>
      <c r="B99" s="8" t="n"/>
      <c r="C99" s="9" t="n"/>
      <c r="D99" s="10" t="n"/>
      <c r="E99" s="11">
        <f>IF($A99="","",IF($D99="","",$D99-IF($G99="",Contracts!$C$3,$G99)))</f>
        <v/>
      </c>
      <c r="F99" s="12">
        <f>IF($E99="","",$E99-TODAY())</f>
        <v/>
      </c>
      <c r="G99" s="6" t="n"/>
      <c r="H99" s="13">
        <f>IF($A99="","",IF($F99="","",IF($F99&lt;0,"MISSED",IF($F99&lt;Contracts!$G$3,"ACT NOW","OK"))))</f>
        <v/>
      </c>
      <c r="I99" s="14">
        <f>IF($B99="","",SUMIFS(Contracts!$C$5:$C$204,Contracts!$B$5:$B$204,$B99))</f>
        <v/>
      </c>
      <c r="J99" s="8" t="n"/>
      <c r="K99" s="8" t="n"/>
      <c r="L99" s="8" t="n"/>
      <c r="M99" s="10" t="n"/>
      <c r="N99" s="14">
        <f>IF($A99="","",SUMIFS(Spend!$E$5:$E$204,Spend!$B$5:$B$204,$A99))</f>
        <v/>
      </c>
      <c r="O99" s="15">
        <f>IF($A99="","",IFERROR($N99/$C99,0))</f>
        <v/>
      </c>
      <c r="P99" s="8" t="n"/>
      <c r="Q99" s="8" t="n"/>
      <c r="R99" s="16">
        <f>IF($E99="","",COUNTIFS($E$5:$E$204,"&lt;"&amp;$E99)+COUNTIF($E$5:$E99,$E99))</f>
        <v/>
      </c>
    </row>
    <row r="100">
      <c r="A100" s="8" t="n"/>
      <c r="B100" s="8" t="n"/>
      <c r="C100" s="9" t="n"/>
      <c r="D100" s="10" t="n"/>
      <c r="E100" s="11">
        <f>IF($A100="","",IF($D100="","",$D100-IF($G100="",Contracts!$C$3,$G100)))</f>
        <v/>
      </c>
      <c r="F100" s="12">
        <f>IF($E100="","",$E100-TODAY())</f>
        <v/>
      </c>
      <c r="G100" s="6" t="n"/>
      <c r="H100" s="13">
        <f>IF($A100="","",IF($F100="","",IF($F100&lt;0,"MISSED",IF($F100&lt;Contracts!$G$3,"ACT NOW","OK"))))</f>
        <v/>
      </c>
      <c r="I100" s="14">
        <f>IF($B100="","",SUMIFS(Contracts!$C$5:$C$204,Contracts!$B$5:$B$204,$B100))</f>
        <v/>
      </c>
      <c r="J100" s="8" t="n"/>
      <c r="K100" s="8" t="n"/>
      <c r="L100" s="8" t="n"/>
      <c r="M100" s="10" t="n"/>
      <c r="N100" s="14">
        <f>IF($A100="","",SUMIFS(Spend!$E$5:$E$204,Spend!$B$5:$B$204,$A100))</f>
        <v/>
      </c>
      <c r="O100" s="15">
        <f>IF($A100="","",IFERROR($N100/$C100,0))</f>
        <v/>
      </c>
      <c r="P100" s="8" t="n"/>
      <c r="Q100" s="8" t="n"/>
      <c r="R100" s="16">
        <f>IF($E100="","",COUNTIFS($E$5:$E$204,"&lt;"&amp;$E100)+COUNTIF($E$5:$E100,$E100))</f>
        <v/>
      </c>
    </row>
    <row r="101">
      <c r="A101" s="8" t="n"/>
      <c r="B101" s="8" t="n"/>
      <c r="C101" s="9" t="n"/>
      <c r="D101" s="10" t="n"/>
      <c r="E101" s="11">
        <f>IF($A101="","",IF($D101="","",$D101-IF($G101="",Contracts!$C$3,$G101)))</f>
        <v/>
      </c>
      <c r="F101" s="12">
        <f>IF($E101="","",$E101-TODAY())</f>
        <v/>
      </c>
      <c r="G101" s="6" t="n"/>
      <c r="H101" s="13">
        <f>IF($A101="","",IF($F101="","",IF($F101&lt;0,"MISSED",IF($F101&lt;Contracts!$G$3,"ACT NOW","OK"))))</f>
        <v/>
      </c>
      <c r="I101" s="14">
        <f>IF($B101="","",SUMIFS(Contracts!$C$5:$C$204,Contracts!$B$5:$B$204,$B101))</f>
        <v/>
      </c>
      <c r="J101" s="8" t="n"/>
      <c r="K101" s="8" t="n"/>
      <c r="L101" s="8" t="n"/>
      <c r="M101" s="10" t="n"/>
      <c r="N101" s="14">
        <f>IF($A101="","",SUMIFS(Spend!$E$5:$E$204,Spend!$B$5:$B$204,$A101))</f>
        <v/>
      </c>
      <c r="O101" s="15">
        <f>IF($A101="","",IFERROR($N101/$C101,0))</f>
        <v/>
      </c>
      <c r="P101" s="8" t="n"/>
      <c r="Q101" s="8" t="n"/>
      <c r="R101" s="16">
        <f>IF($E101="","",COUNTIFS($E$5:$E$204,"&lt;"&amp;$E101)+COUNTIF($E$5:$E101,$E101))</f>
        <v/>
      </c>
    </row>
    <row r="102">
      <c r="A102" s="8" t="n"/>
      <c r="B102" s="8" t="n"/>
      <c r="C102" s="9" t="n"/>
      <c r="D102" s="10" t="n"/>
      <c r="E102" s="11">
        <f>IF($A102="","",IF($D102="","",$D102-IF($G102="",Contracts!$C$3,$G102)))</f>
        <v/>
      </c>
      <c r="F102" s="12">
        <f>IF($E102="","",$E102-TODAY())</f>
        <v/>
      </c>
      <c r="G102" s="6" t="n"/>
      <c r="H102" s="13">
        <f>IF($A102="","",IF($F102="","",IF($F102&lt;0,"MISSED",IF($F102&lt;Contracts!$G$3,"ACT NOW","OK"))))</f>
        <v/>
      </c>
      <c r="I102" s="14">
        <f>IF($B102="","",SUMIFS(Contracts!$C$5:$C$204,Contracts!$B$5:$B$204,$B102))</f>
        <v/>
      </c>
      <c r="J102" s="8" t="n"/>
      <c r="K102" s="8" t="n"/>
      <c r="L102" s="8" t="n"/>
      <c r="M102" s="10" t="n"/>
      <c r="N102" s="14">
        <f>IF($A102="","",SUMIFS(Spend!$E$5:$E$204,Spend!$B$5:$B$204,$A102))</f>
        <v/>
      </c>
      <c r="O102" s="15">
        <f>IF($A102="","",IFERROR($N102/$C102,0))</f>
        <v/>
      </c>
      <c r="P102" s="8" t="n"/>
      <c r="Q102" s="8" t="n"/>
      <c r="R102" s="16">
        <f>IF($E102="","",COUNTIFS($E$5:$E$204,"&lt;"&amp;$E102)+COUNTIF($E$5:$E102,$E102))</f>
        <v/>
      </c>
    </row>
    <row r="103">
      <c r="A103" s="8" t="n"/>
      <c r="B103" s="8" t="n"/>
      <c r="C103" s="9" t="n"/>
      <c r="D103" s="10" t="n"/>
      <c r="E103" s="11">
        <f>IF($A103="","",IF($D103="","",$D103-IF($G103="",Contracts!$C$3,$G103)))</f>
        <v/>
      </c>
      <c r="F103" s="12">
        <f>IF($E103="","",$E103-TODAY())</f>
        <v/>
      </c>
      <c r="G103" s="6" t="n"/>
      <c r="H103" s="13">
        <f>IF($A103="","",IF($F103="","",IF($F103&lt;0,"MISSED",IF($F103&lt;Contracts!$G$3,"ACT NOW","OK"))))</f>
        <v/>
      </c>
      <c r="I103" s="14">
        <f>IF($B103="","",SUMIFS(Contracts!$C$5:$C$204,Contracts!$B$5:$B$204,$B103))</f>
        <v/>
      </c>
      <c r="J103" s="8" t="n"/>
      <c r="K103" s="8" t="n"/>
      <c r="L103" s="8" t="n"/>
      <c r="M103" s="10" t="n"/>
      <c r="N103" s="14">
        <f>IF($A103="","",SUMIFS(Spend!$E$5:$E$204,Spend!$B$5:$B$204,$A103))</f>
        <v/>
      </c>
      <c r="O103" s="15">
        <f>IF($A103="","",IFERROR($N103/$C103,0))</f>
        <v/>
      </c>
      <c r="P103" s="8" t="n"/>
      <c r="Q103" s="8" t="n"/>
      <c r="R103" s="16">
        <f>IF($E103="","",COUNTIFS($E$5:$E$204,"&lt;"&amp;$E103)+COUNTIF($E$5:$E103,$E103))</f>
        <v/>
      </c>
    </row>
    <row r="104">
      <c r="A104" s="8" t="n"/>
      <c r="B104" s="8" t="n"/>
      <c r="C104" s="9" t="n"/>
      <c r="D104" s="10" t="n"/>
      <c r="E104" s="11">
        <f>IF($A104="","",IF($D104="","",$D104-IF($G104="",Contracts!$C$3,$G104)))</f>
        <v/>
      </c>
      <c r="F104" s="12">
        <f>IF($E104="","",$E104-TODAY())</f>
        <v/>
      </c>
      <c r="G104" s="6" t="n"/>
      <c r="H104" s="13">
        <f>IF($A104="","",IF($F104="","",IF($F104&lt;0,"MISSED",IF($F104&lt;Contracts!$G$3,"ACT NOW","OK"))))</f>
        <v/>
      </c>
      <c r="I104" s="14">
        <f>IF($B104="","",SUMIFS(Contracts!$C$5:$C$204,Contracts!$B$5:$B$204,$B104))</f>
        <v/>
      </c>
      <c r="J104" s="8" t="n"/>
      <c r="K104" s="8" t="n"/>
      <c r="L104" s="8" t="n"/>
      <c r="M104" s="10" t="n"/>
      <c r="N104" s="14">
        <f>IF($A104="","",SUMIFS(Spend!$E$5:$E$204,Spend!$B$5:$B$204,$A104))</f>
        <v/>
      </c>
      <c r="O104" s="15">
        <f>IF($A104="","",IFERROR($N104/$C104,0))</f>
        <v/>
      </c>
      <c r="P104" s="8" t="n"/>
      <c r="Q104" s="8" t="n"/>
      <c r="R104" s="16">
        <f>IF($E104="","",COUNTIFS($E$5:$E$204,"&lt;"&amp;$E104)+COUNTIF($E$5:$E104,$E104))</f>
        <v/>
      </c>
    </row>
    <row r="105">
      <c r="A105" s="8" t="n"/>
      <c r="B105" s="8" t="n"/>
      <c r="C105" s="9" t="n"/>
      <c r="D105" s="10" t="n"/>
      <c r="E105" s="11">
        <f>IF($A105="","",IF($D105="","",$D105-IF($G105="",Contracts!$C$3,$G105)))</f>
        <v/>
      </c>
      <c r="F105" s="12">
        <f>IF($E105="","",$E105-TODAY())</f>
        <v/>
      </c>
      <c r="G105" s="6" t="n"/>
      <c r="H105" s="13">
        <f>IF($A105="","",IF($F105="","",IF($F105&lt;0,"MISSED",IF($F105&lt;Contracts!$G$3,"ACT NOW","OK"))))</f>
        <v/>
      </c>
      <c r="I105" s="14">
        <f>IF($B105="","",SUMIFS(Contracts!$C$5:$C$204,Contracts!$B$5:$B$204,$B105))</f>
        <v/>
      </c>
      <c r="J105" s="8" t="n"/>
      <c r="K105" s="8" t="n"/>
      <c r="L105" s="8" t="n"/>
      <c r="M105" s="10" t="n"/>
      <c r="N105" s="14">
        <f>IF($A105="","",SUMIFS(Spend!$E$5:$E$204,Spend!$B$5:$B$204,$A105))</f>
        <v/>
      </c>
      <c r="O105" s="15">
        <f>IF($A105="","",IFERROR($N105/$C105,0))</f>
        <v/>
      </c>
      <c r="P105" s="8" t="n"/>
      <c r="Q105" s="8" t="n"/>
      <c r="R105" s="16">
        <f>IF($E105="","",COUNTIFS($E$5:$E$204,"&lt;"&amp;$E105)+COUNTIF($E$5:$E105,$E105))</f>
        <v/>
      </c>
    </row>
    <row r="106">
      <c r="A106" s="8" t="n"/>
      <c r="B106" s="8" t="n"/>
      <c r="C106" s="9" t="n"/>
      <c r="D106" s="10" t="n"/>
      <c r="E106" s="11">
        <f>IF($A106="","",IF($D106="","",$D106-IF($G106="",Contracts!$C$3,$G106)))</f>
        <v/>
      </c>
      <c r="F106" s="12">
        <f>IF($E106="","",$E106-TODAY())</f>
        <v/>
      </c>
      <c r="G106" s="6" t="n"/>
      <c r="H106" s="13">
        <f>IF($A106="","",IF($F106="","",IF($F106&lt;0,"MISSED",IF($F106&lt;Contracts!$G$3,"ACT NOW","OK"))))</f>
        <v/>
      </c>
      <c r="I106" s="14">
        <f>IF($B106="","",SUMIFS(Contracts!$C$5:$C$204,Contracts!$B$5:$B$204,$B106))</f>
        <v/>
      </c>
      <c r="J106" s="8" t="n"/>
      <c r="K106" s="8" t="n"/>
      <c r="L106" s="8" t="n"/>
      <c r="M106" s="10" t="n"/>
      <c r="N106" s="14">
        <f>IF($A106="","",SUMIFS(Spend!$E$5:$E$204,Spend!$B$5:$B$204,$A106))</f>
        <v/>
      </c>
      <c r="O106" s="15">
        <f>IF($A106="","",IFERROR($N106/$C106,0))</f>
        <v/>
      </c>
      <c r="P106" s="8" t="n"/>
      <c r="Q106" s="8" t="n"/>
      <c r="R106" s="16">
        <f>IF($E106="","",COUNTIFS($E$5:$E$204,"&lt;"&amp;$E106)+COUNTIF($E$5:$E106,$E106))</f>
        <v/>
      </c>
    </row>
    <row r="107">
      <c r="A107" s="8" t="n"/>
      <c r="B107" s="8" t="n"/>
      <c r="C107" s="9" t="n"/>
      <c r="D107" s="10" t="n"/>
      <c r="E107" s="11">
        <f>IF($A107="","",IF($D107="","",$D107-IF($G107="",Contracts!$C$3,$G107)))</f>
        <v/>
      </c>
      <c r="F107" s="12">
        <f>IF($E107="","",$E107-TODAY())</f>
        <v/>
      </c>
      <c r="G107" s="6" t="n"/>
      <c r="H107" s="13">
        <f>IF($A107="","",IF($F107="","",IF($F107&lt;0,"MISSED",IF($F107&lt;Contracts!$G$3,"ACT NOW","OK"))))</f>
        <v/>
      </c>
      <c r="I107" s="14">
        <f>IF($B107="","",SUMIFS(Contracts!$C$5:$C$204,Contracts!$B$5:$B$204,$B107))</f>
        <v/>
      </c>
      <c r="J107" s="8" t="n"/>
      <c r="K107" s="8" t="n"/>
      <c r="L107" s="8" t="n"/>
      <c r="M107" s="10" t="n"/>
      <c r="N107" s="14">
        <f>IF($A107="","",SUMIFS(Spend!$E$5:$E$204,Spend!$B$5:$B$204,$A107))</f>
        <v/>
      </c>
      <c r="O107" s="15">
        <f>IF($A107="","",IFERROR($N107/$C107,0))</f>
        <v/>
      </c>
      <c r="P107" s="8" t="n"/>
      <c r="Q107" s="8" t="n"/>
      <c r="R107" s="16">
        <f>IF($E107="","",COUNTIFS($E$5:$E$204,"&lt;"&amp;$E107)+COUNTIF($E$5:$E107,$E107))</f>
        <v/>
      </c>
    </row>
    <row r="108">
      <c r="A108" s="8" t="n"/>
      <c r="B108" s="8" t="n"/>
      <c r="C108" s="9" t="n"/>
      <c r="D108" s="10" t="n"/>
      <c r="E108" s="11">
        <f>IF($A108="","",IF($D108="","",$D108-IF($G108="",Contracts!$C$3,$G108)))</f>
        <v/>
      </c>
      <c r="F108" s="12">
        <f>IF($E108="","",$E108-TODAY())</f>
        <v/>
      </c>
      <c r="G108" s="6" t="n"/>
      <c r="H108" s="13">
        <f>IF($A108="","",IF($F108="","",IF($F108&lt;0,"MISSED",IF($F108&lt;Contracts!$G$3,"ACT NOW","OK"))))</f>
        <v/>
      </c>
      <c r="I108" s="14">
        <f>IF($B108="","",SUMIFS(Contracts!$C$5:$C$204,Contracts!$B$5:$B$204,$B108))</f>
        <v/>
      </c>
      <c r="J108" s="8" t="n"/>
      <c r="K108" s="8" t="n"/>
      <c r="L108" s="8" t="n"/>
      <c r="M108" s="10" t="n"/>
      <c r="N108" s="14">
        <f>IF($A108="","",SUMIFS(Spend!$E$5:$E$204,Spend!$B$5:$B$204,$A108))</f>
        <v/>
      </c>
      <c r="O108" s="15">
        <f>IF($A108="","",IFERROR($N108/$C108,0))</f>
        <v/>
      </c>
      <c r="P108" s="8" t="n"/>
      <c r="Q108" s="8" t="n"/>
      <c r="R108" s="16">
        <f>IF($E108="","",COUNTIFS($E$5:$E$204,"&lt;"&amp;$E108)+COUNTIF($E$5:$E108,$E108))</f>
        <v/>
      </c>
    </row>
    <row r="109">
      <c r="A109" s="8" t="n"/>
      <c r="B109" s="8" t="n"/>
      <c r="C109" s="9" t="n"/>
      <c r="D109" s="10" t="n"/>
      <c r="E109" s="11">
        <f>IF($A109="","",IF($D109="","",$D109-IF($G109="",Contracts!$C$3,$G109)))</f>
        <v/>
      </c>
      <c r="F109" s="12">
        <f>IF($E109="","",$E109-TODAY())</f>
        <v/>
      </c>
      <c r="G109" s="6" t="n"/>
      <c r="H109" s="13">
        <f>IF($A109="","",IF($F109="","",IF($F109&lt;0,"MISSED",IF($F109&lt;Contracts!$G$3,"ACT NOW","OK"))))</f>
        <v/>
      </c>
      <c r="I109" s="14">
        <f>IF($B109="","",SUMIFS(Contracts!$C$5:$C$204,Contracts!$B$5:$B$204,$B109))</f>
        <v/>
      </c>
      <c r="J109" s="8" t="n"/>
      <c r="K109" s="8" t="n"/>
      <c r="L109" s="8" t="n"/>
      <c r="M109" s="10" t="n"/>
      <c r="N109" s="14">
        <f>IF($A109="","",SUMIFS(Spend!$E$5:$E$204,Spend!$B$5:$B$204,$A109))</f>
        <v/>
      </c>
      <c r="O109" s="15">
        <f>IF($A109="","",IFERROR($N109/$C109,0))</f>
        <v/>
      </c>
      <c r="P109" s="8" t="n"/>
      <c r="Q109" s="8" t="n"/>
      <c r="R109" s="16">
        <f>IF($E109="","",COUNTIFS($E$5:$E$204,"&lt;"&amp;$E109)+COUNTIF($E$5:$E109,$E109))</f>
        <v/>
      </c>
    </row>
    <row r="110">
      <c r="A110" s="8" t="n"/>
      <c r="B110" s="8" t="n"/>
      <c r="C110" s="9" t="n"/>
      <c r="D110" s="10" t="n"/>
      <c r="E110" s="11">
        <f>IF($A110="","",IF($D110="","",$D110-IF($G110="",Contracts!$C$3,$G110)))</f>
        <v/>
      </c>
      <c r="F110" s="12">
        <f>IF($E110="","",$E110-TODAY())</f>
        <v/>
      </c>
      <c r="G110" s="6" t="n"/>
      <c r="H110" s="13">
        <f>IF($A110="","",IF($F110="","",IF($F110&lt;0,"MISSED",IF($F110&lt;Contracts!$G$3,"ACT NOW","OK"))))</f>
        <v/>
      </c>
      <c r="I110" s="14">
        <f>IF($B110="","",SUMIFS(Contracts!$C$5:$C$204,Contracts!$B$5:$B$204,$B110))</f>
        <v/>
      </c>
      <c r="J110" s="8" t="n"/>
      <c r="K110" s="8" t="n"/>
      <c r="L110" s="8" t="n"/>
      <c r="M110" s="10" t="n"/>
      <c r="N110" s="14">
        <f>IF($A110="","",SUMIFS(Spend!$E$5:$E$204,Spend!$B$5:$B$204,$A110))</f>
        <v/>
      </c>
      <c r="O110" s="15">
        <f>IF($A110="","",IFERROR($N110/$C110,0))</f>
        <v/>
      </c>
      <c r="P110" s="8" t="n"/>
      <c r="Q110" s="8" t="n"/>
      <c r="R110" s="16">
        <f>IF($E110="","",COUNTIFS($E$5:$E$204,"&lt;"&amp;$E110)+COUNTIF($E$5:$E110,$E110))</f>
        <v/>
      </c>
    </row>
    <row r="111">
      <c r="A111" s="8" t="n"/>
      <c r="B111" s="8" t="n"/>
      <c r="C111" s="9" t="n"/>
      <c r="D111" s="10" t="n"/>
      <c r="E111" s="11">
        <f>IF($A111="","",IF($D111="","",$D111-IF($G111="",Contracts!$C$3,$G111)))</f>
        <v/>
      </c>
      <c r="F111" s="12">
        <f>IF($E111="","",$E111-TODAY())</f>
        <v/>
      </c>
      <c r="G111" s="6" t="n"/>
      <c r="H111" s="13">
        <f>IF($A111="","",IF($F111="","",IF($F111&lt;0,"MISSED",IF($F111&lt;Contracts!$G$3,"ACT NOW","OK"))))</f>
        <v/>
      </c>
      <c r="I111" s="14">
        <f>IF($B111="","",SUMIFS(Contracts!$C$5:$C$204,Contracts!$B$5:$B$204,$B111))</f>
        <v/>
      </c>
      <c r="J111" s="8" t="n"/>
      <c r="K111" s="8" t="n"/>
      <c r="L111" s="8" t="n"/>
      <c r="M111" s="10" t="n"/>
      <c r="N111" s="14">
        <f>IF($A111="","",SUMIFS(Spend!$E$5:$E$204,Spend!$B$5:$B$204,$A111))</f>
        <v/>
      </c>
      <c r="O111" s="15">
        <f>IF($A111="","",IFERROR($N111/$C111,0))</f>
        <v/>
      </c>
      <c r="P111" s="8" t="n"/>
      <c r="Q111" s="8" t="n"/>
      <c r="R111" s="16">
        <f>IF($E111="","",COUNTIFS($E$5:$E$204,"&lt;"&amp;$E111)+COUNTIF($E$5:$E111,$E111))</f>
        <v/>
      </c>
    </row>
    <row r="112">
      <c r="A112" s="8" t="n"/>
      <c r="B112" s="8" t="n"/>
      <c r="C112" s="9" t="n"/>
      <c r="D112" s="10" t="n"/>
      <c r="E112" s="11">
        <f>IF($A112="","",IF($D112="","",$D112-IF($G112="",Contracts!$C$3,$G112)))</f>
        <v/>
      </c>
      <c r="F112" s="12">
        <f>IF($E112="","",$E112-TODAY())</f>
        <v/>
      </c>
      <c r="G112" s="6" t="n"/>
      <c r="H112" s="13">
        <f>IF($A112="","",IF($F112="","",IF($F112&lt;0,"MISSED",IF($F112&lt;Contracts!$G$3,"ACT NOW","OK"))))</f>
        <v/>
      </c>
      <c r="I112" s="14">
        <f>IF($B112="","",SUMIFS(Contracts!$C$5:$C$204,Contracts!$B$5:$B$204,$B112))</f>
        <v/>
      </c>
      <c r="J112" s="8" t="n"/>
      <c r="K112" s="8" t="n"/>
      <c r="L112" s="8" t="n"/>
      <c r="M112" s="10" t="n"/>
      <c r="N112" s="14">
        <f>IF($A112="","",SUMIFS(Spend!$E$5:$E$204,Spend!$B$5:$B$204,$A112))</f>
        <v/>
      </c>
      <c r="O112" s="15">
        <f>IF($A112="","",IFERROR($N112/$C112,0))</f>
        <v/>
      </c>
      <c r="P112" s="8" t="n"/>
      <c r="Q112" s="8" t="n"/>
      <c r="R112" s="16">
        <f>IF($E112="","",COUNTIFS($E$5:$E$204,"&lt;"&amp;$E112)+COUNTIF($E$5:$E112,$E112))</f>
        <v/>
      </c>
    </row>
    <row r="113">
      <c r="A113" s="8" t="n"/>
      <c r="B113" s="8" t="n"/>
      <c r="C113" s="9" t="n"/>
      <c r="D113" s="10" t="n"/>
      <c r="E113" s="11">
        <f>IF($A113="","",IF($D113="","",$D113-IF($G113="",Contracts!$C$3,$G113)))</f>
        <v/>
      </c>
      <c r="F113" s="12">
        <f>IF($E113="","",$E113-TODAY())</f>
        <v/>
      </c>
      <c r="G113" s="6" t="n"/>
      <c r="H113" s="13">
        <f>IF($A113="","",IF($F113="","",IF($F113&lt;0,"MISSED",IF($F113&lt;Contracts!$G$3,"ACT NOW","OK"))))</f>
        <v/>
      </c>
      <c r="I113" s="14">
        <f>IF($B113="","",SUMIFS(Contracts!$C$5:$C$204,Contracts!$B$5:$B$204,$B113))</f>
        <v/>
      </c>
      <c r="J113" s="8" t="n"/>
      <c r="K113" s="8" t="n"/>
      <c r="L113" s="8" t="n"/>
      <c r="M113" s="10" t="n"/>
      <c r="N113" s="14">
        <f>IF($A113="","",SUMIFS(Spend!$E$5:$E$204,Spend!$B$5:$B$204,$A113))</f>
        <v/>
      </c>
      <c r="O113" s="15">
        <f>IF($A113="","",IFERROR($N113/$C113,0))</f>
        <v/>
      </c>
      <c r="P113" s="8" t="n"/>
      <c r="Q113" s="8" t="n"/>
      <c r="R113" s="16">
        <f>IF($E113="","",COUNTIFS($E$5:$E$204,"&lt;"&amp;$E113)+COUNTIF($E$5:$E113,$E113))</f>
        <v/>
      </c>
    </row>
    <row r="114">
      <c r="A114" s="8" t="n"/>
      <c r="B114" s="8" t="n"/>
      <c r="C114" s="9" t="n"/>
      <c r="D114" s="10" t="n"/>
      <c r="E114" s="11">
        <f>IF($A114="","",IF($D114="","",$D114-IF($G114="",Contracts!$C$3,$G114)))</f>
        <v/>
      </c>
      <c r="F114" s="12">
        <f>IF($E114="","",$E114-TODAY())</f>
        <v/>
      </c>
      <c r="G114" s="6" t="n"/>
      <c r="H114" s="13">
        <f>IF($A114="","",IF($F114="","",IF($F114&lt;0,"MISSED",IF($F114&lt;Contracts!$G$3,"ACT NOW","OK"))))</f>
        <v/>
      </c>
      <c r="I114" s="14">
        <f>IF($B114="","",SUMIFS(Contracts!$C$5:$C$204,Contracts!$B$5:$B$204,$B114))</f>
        <v/>
      </c>
      <c r="J114" s="8" t="n"/>
      <c r="K114" s="8" t="n"/>
      <c r="L114" s="8" t="n"/>
      <c r="M114" s="10" t="n"/>
      <c r="N114" s="14">
        <f>IF($A114="","",SUMIFS(Spend!$E$5:$E$204,Spend!$B$5:$B$204,$A114))</f>
        <v/>
      </c>
      <c r="O114" s="15">
        <f>IF($A114="","",IFERROR($N114/$C114,0))</f>
        <v/>
      </c>
      <c r="P114" s="8" t="n"/>
      <c r="Q114" s="8" t="n"/>
      <c r="R114" s="16">
        <f>IF($E114="","",COUNTIFS($E$5:$E$204,"&lt;"&amp;$E114)+COUNTIF($E$5:$E114,$E114))</f>
        <v/>
      </c>
    </row>
    <row r="115">
      <c r="A115" s="8" t="n"/>
      <c r="B115" s="8" t="n"/>
      <c r="C115" s="9" t="n"/>
      <c r="D115" s="10" t="n"/>
      <c r="E115" s="11">
        <f>IF($A115="","",IF($D115="","",$D115-IF($G115="",Contracts!$C$3,$G115)))</f>
        <v/>
      </c>
      <c r="F115" s="12">
        <f>IF($E115="","",$E115-TODAY())</f>
        <v/>
      </c>
      <c r="G115" s="6" t="n"/>
      <c r="H115" s="13">
        <f>IF($A115="","",IF($F115="","",IF($F115&lt;0,"MISSED",IF($F115&lt;Contracts!$G$3,"ACT NOW","OK"))))</f>
        <v/>
      </c>
      <c r="I115" s="14">
        <f>IF($B115="","",SUMIFS(Contracts!$C$5:$C$204,Contracts!$B$5:$B$204,$B115))</f>
        <v/>
      </c>
      <c r="J115" s="8" t="n"/>
      <c r="K115" s="8" t="n"/>
      <c r="L115" s="8" t="n"/>
      <c r="M115" s="10" t="n"/>
      <c r="N115" s="14">
        <f>IF($A115="","",SUMIFS(Spend!$E$5:$E$204,Spend!$B$5:$B$204,$A115))</f>
        <v/>
      </c>
      <c r="O115" s="15">
        <f>IF($A115="","",IFERROR($N115/$C115,0))</f>
        <v/>
      </c>
      <c r="P115" s="8" t="n"/>
      <c r="Q115" s="8" t="n"/>
      <c r="R115" s="16">
        <f>IF($E115="","",COUNTIFS($E$5:$E$204,"&lt;"&amp;$E115)+COUNTIF($E$5:$E115,$E115))</f>
        <v/>
      </c>
    </row>
    <row r="116">
      <c r="A116" s="8" t="n"/>
      <c r="B116" s="8" t="n"/>
      <c r="C116" s="9" t="n"/>
      <c r="D116" s="10" t="n"/>
      <c r="E116" s="11">
        <f>IF($A116="","",IF($D116="","",$D116-IF($G116="",Contracts!$C$3,$G116)))</f>
        <v/>
      </c>
      <c r="F116" s="12">
        <f>IF($E116="","",$E116-TODAY())</f>
        <v/>
      </c>
      <c r="G116" s="6" t="n"/>
      <c r="H116" s="13">
        <f>IF($A116="","",IF($F116="","",IF($F116&lt;0,"MISSED",IF($F116&lt;Contracts!$G$3,"ACT NOW","OK"))))</f>
        <v/>
      </c>
      <c r="I116" s="14">
        <f>IF($B116="","",SUMIFS(Contracts!$C$5:$C$204,Contracts!$B$5:$B$204,$B116))</f>
        <v/>
      </c>
      <c r="J116" s="8" t="n"/>
      <c r="K116" s="8" t="n"/>
      <c r="L116" s="8" t="n"/>
      <c r="M116" s="10" t="n"/>
      <c r="N116" s="14">
        <f>IF($A116="","",SUMIFS(Spend!$E$5:$E$204,Spend!$B$5:$B$204,$A116))</f>
        <v/>
      </c>
      <c r="O116" s="15">
        <f>IF($A116="","",IFERROR($N116/$C116,0))</f>
        <v/>
      </c>
      <c r="P116" s="8" t="n"/>
      <c r="Q116" s="8" t="n"/>
      <c r="R116" s="16">
        <f>IF($E116="","",COUNTIFS($E$5:$E$204,"&lt;"&amp;$E116)+COUNTIF($E$5:$E116,$E116))</f>
        <v/>
      </c>
    </row>
    <row r="117">
      <c r="A117" s="8" t="n"/>
      <c r="B117" s="8" t="n"/>
      <c r="C117" s="9" t="n"/>
      <c r="D117" s="10" t="n"/>
      <c r="E117" s="11">
        <f>IF($A117="","",IF($D117="","",$D117-IF($G117="",Contracts!$C$3,$G117)))</f>
        <v/>
      </c>
      <c r="F117" s="12">
        <f>IF($E117="","",$E117-TODAY())</f>
        <v/>
      </c>
      <c r="G117" s="6" t="n"/>
      <c r="H117" s="13">
        <f>IF($A117="","",IF($F117="","",IF($F117&lt;0,"MISSED",IF($F117&lt;Contracts!$G$3,"ACT NOW","OK"))))</f>
        <v/>
      </c>
      <c r="I117" s="14">
        <f>IF($B117="","",SUMIFS(Contracts!$C$5:$C$204,Contracts!$B$5:$B$204,$B117))</f>
        <v/>
      </c>
      <c r="J117" s="8" t="n"/>
      <c r="K117" s="8" t="n"/>
      <c r="L117" s="8" t="n"/>
      <c r="M117" s="10" t="n"/>
      <c r="N117" s="14">
        <f>IF($A117="","",SUMIFS(Spend!$E$5:$E$204,Spend!$B$5:$B$204,$A117))</f>
        <v/>
      </c>
      <c r="O117" s="15">
        <f>IF($A117="","",IFERROR($N117/$C117,0))</f>
        <v/>
      </c>
      <c r="P117" s="8" t="n"/>
      <c r="Q117" s="8" t="n"/>
      <c r="R117" s="16">
        <f>IF($E117="","",COUNTIFS($E$5:$E$204,"&lt;"&amp;$E117)+COUNTIF($E$5:$E117,$E117))</f>
        <v/>
      </c>
    </row>
    <row r="118">
      <c r="A118" s="8" t="n"/>
      <c r="B118" s="8" t="n"/>
      <c r="C118" s="9" t="n"/>
      <c r="D118" s="10" t="n"/>
      <c r="E118" s="11">
        <f>IF($A118="","",IF($D118="","",$D118-IF($G118="",Contracts!$C$3,$G118)))</f>
        <v/>
      </c>
      <c r="F118" s="12">
        <f>IF($E118="","",$E118-TODAY())</f>
        <v/>
      </c>
      <c r="G118" s="6" t="n"/>
      <c r="H118" s="13">
        <f>IF($A118="","",IF($F118="","",IF($F118&lt;0,"MISSED",IF($F118&lt;Contracts!$G$3,"ACT NOW","OK"))))</f>
        <v/>
      </c>
      <c r="I118" s="14">
        <f>IF($B118="","",SUMIFS(Contracts!$C$5:$C$204,Contracts!$B$5:$B$204,$B118))</f>
        <v/>
      </c>
      <c r="J118" s="8" t="n"/>
      <c r="K118" s="8" t="n"/>
      <c r="L118" s="8" t="n"/>
      <c r="M118" s="10" t="n"/>
      <c r="N118" s="14">
        <f>IF($A118="","",SUMIFS(Spend!$E$5:$E$204,Spend!$B$5:$B$204,$A118))</f>
        <v/>
      </c>
      <c r="O118" s="15">
        <f>IF($A118="","",IFERROR($N118/$C118,0))</f>
        <v/>
      </c>
      <c r="P118" s="8" t="n"/>
      <c r="Q118" s="8" t="n"/>
      <c r="R118" s="16">
        <f>IF($E118="","",COUNTIFS($E$5:$E$204,"&lt;"&amp;$E118)+COUNTIF($E$5:$E118,$E118))</f>
        <v/>
      </c>
    </row>
    <row r="119">
      <c r="A119" s="8" t="n"/>
      <c r="B119" s="8" t="n"/>
      <c r="C119" s="9" t="n"/>
      <c r="D119" s="10" t="n"/>
      <c r="E119" s="11">
        <f>IF($A119="","",IF($D119="","",$D119-IF($G119="",Contracts!$C$3,$G119)))</f>
        <v/>
      </c>
      <c r="F119" s="12">
        <f>IF($E119="","",$E119-TODAY())</f>
        <v/>
      </c>
      <c r="G119" s="6" t="n"/>
      <c r="H119" s="13">
        <f>IF($A119="","",IF($F119="","",IF($F119&lt;0,"MISSED",IF($F119&lt;Contracts!$G$3,"ACT NOW","OK"))))</f>
        <v/>
      </c>
      <c r="I119" s="14">
        <f>IF($B119="","",SUMIFS(Contracts!$C$5:$C$204,Contracts!$B$5:$B$204,$B119))</f>
        <v/>
      </c>
      <c r="J119" s="8" t="n"/>
      <c r="K119" s="8" t="n"/>
      <c r="L119" s="8" t="n"/>
      <c r="M119" s="10" t="n"/>
      <c r="N119" s="14">
        <f>IF($A119="","",SUMIFS(Spend!$E$5:$E$204,Spend!$B$5:$B$204,$A119))</f>
        <v/>
      </c>
      <c r="O119" s="15">
        <f>IF($A119="","",IFERROR($N119/$C119,0))</f>
        <v/>
      </c>
      <c r="P119" s="8" t="n"/>
      <c r="Q119" s="8" t="n"/>
      <c r="R119" s="16">
        <f>IF($E119="","",COUNTIFS($E$5:$E$204,"&lt;"&amp;$E119)+COUNTIF($E$5:$E119,$E119))</f>
        <v/>
      </c>
    </row>
    <row r="120">
      <c r="A120" s="8" t="n"/>
      <c r="B120" s="8" t="n"/>
      <c r="C120" s="9" t="n"/>
      <c r="D120" s="10" t="n"/>
      <c r="E120" s="11">
        <f>IF($A120="","",IF($D120="","",$D120-IF($G120="",Contracts!$C$3,$G120)))</f>
        <v/>
      </c>
      <c r="F120" s="12">
        <f>IF($E120="","",$E120-TODAY())</f>
        <v/>
      </c>
      <c r="G120" s="6" t="n"/>
      <c r="H120" s="13">
        <f>IF($A120="","",IF($F120="","",IF($F120&lt;0,"MISSED",IF($F120&lt;Contracts!$G$3,"ACT NOW","OK"))))</f>
        <v/>
      </c>
      <c r="I120" s="14">
        <f>IF($B120="","",SUMIFS(Contracts!$C$5:$C$204,Contracts!$B$5:$B$204,$B120))</f>
        <v/>
      </c>
      <c r="J120" s="8" t="n"/>
      <c r="K120" s="8" t="n"/>
      <c r="L120" s="8" t="n"/>
      <c r="M120" s="10" t="n"/>
      <c r="N120" s="14">
        <f>IF($A120="","",SUMIFS(Spend!$E$5:$E$204,Spend!$B$5:$B$204,$A120))</f>
        <v/>
      </c>
      <c r="O120" s="15">
        <f>IF($A120="","",IFERROR($N120/$C120,0))</f>
        <v/>
      </c>
      <c r="P120" s="8" t="n"/>
      <c r="Q120" s="8" t="n"/>
      <c r="R120" s="16">
        <f>IF($E120="","",COUNTIFS($E$5:$E$204,"&lt;"&amp;$E120)+COUNTIF($E$5:$E120,$E120))</f>
        <v/>
      </c>
    </row>
    <row r="121">
      <c r="A121" s="8" t="n"/>
      <c r="B121" s="8" t="n"/>
      <c r="C121" s="9" t="n"/>
      <c r="D121" s="10" t="n"/>
      <c r="E121" s="11">
        <f>IF($A121="","",IF($D121="","",$D121-IF($G121="",Contracts!$C$3,$G121)))</f>
        <v/>
      </c>
      <c r="F121" s="12">
        <f>IF($E121="","",$E121-TODAY())</f>
        <v/>
      </c>
      <c r="G121" s="6" t="n"/>
      <c r="H121" s="13">
        <f>IF($A121="","",IF($F121="","",IF($F121&lt;0,"MISSED",IF($F121&lt;Contracts!$G$3,"ACT NOW","OK"))))</f>
        <v/>
      </c>
      <c r="I121" s="14">
        <f>IF($B121="","",SUMIFS(Contracts!$C$5:$C$204,Contracts!$B$5:$B$204,$B121))</f>
        <v/>
      </c>
      <c r="J121" s="8" t="n"/>
      <c r="K121" s="8" t="n"/>
      <c r="L121" s="8" t="n"/>
      <c r="M121" s="10" t="n"/>
      <c r="N121" s="14">
        <f>IF($A121="","",SUMIFS(Spend!$E$5:$E$204,Spend!$B$5:$B$204,$A121))</f>
        <v/>
      </c>
      <c r="O121" s="15">
        <f>IF($A121="","",IFERROR($N121/$C121,0))</f>
        <v/>
      </c>
      <c r="P121" s="8" t="n"/>
      <c r="Q121" s="8" t="n"/>
      <c r="R121" s="16">
        <f>IF($E121="","",COUNTIFS($E$5:$E$204,"&lt;"&amp;$E121)+COUNTIF($E$5:$E121,$E121))</f>
        <v/>
      </c>
    </row>
    <row r="122">
      <c r="A122" s="8" t="n"/>
      <c r="B122" s="8" t="n"/>
      <c r="C122" s="9" t="n"/>
      <c r="D122" s="10" t="n"/>
      <c r="E122" s="11">
        <f>IF($A122="","",IF($D122="","",$D122-IF($G122="",Contracts!$C$3,$G122)))</f>
        <v/>
      </c>
      <c r="F122" s="12">
        <f>IF($E122="","",$E122-TODAY())</f>
        <v/>
      </c>
      <c r="G122" s="6" t="n"/>
      <c r="H122" s="13">
        <f>IF($A122="","",IF($F122="","",IF($F122&lt;0,"MISSED",IF($F122&lt;Contracts!$G$3,"ACT NOW","OK"))))</f>
        <v/>
      </c>
      <c r="I122" s="14">
        <f>IF($B122="","",SUMIFS(Contracts!$C$5:$C$204,Contracts!$B$5:$B$204,$B122))</f>
        <v/>
      </c>
      <c r="J122" s="8" t="n"/>
      <c r="K122" s="8" t="n"/>
      <c r="L122" s="8" t="n"/>
      <c r="M122" s="10" t="n"/>
      <c r="N122" s="14">
        <f>IF($A122="","",SUMIFS(Spend!$E$5:$E$204,Spend!$B$5:$B$204,$A122))</f>
        <v/>
      </c>
      <c r="O122" s="15">
        <f>IF($A122="","",IFERROR($N122/$C122,0))</f>
        <v/>
      </c>
      <c r="P122" s="8" t="n"/>
      <c r="Q122" s="8" t="n"/>
      <c r="R122" s="16">
        <f>IF($E122="","",COUNTIFS($E$5:$E$204,"&lt;"&amp;$E122)+COUNTIF($E$5:$E122,$E122))</f>
        <v/>
      </c>
    </row>
    <row r="123">
      <c r="A123" s="8" t="n"/>
      <c r="B123" s="8" t="n"/>
      <c r="C123" s="9" t="n"/>
      <c r="D123" s="10" t="n"/>
      <c r="E123" s="11">
        <f>IF($A123="","",IF($D123="","",$D123-IF($G123="",Contracts!$C$3,$G123)))</f>
        <v/>
      </c>
      <c r="F123" s="12">
        <f>IF($E123="","",$E123-TODAY())</f>
        <v/>
      </c>
      <c r="G123" s="6" t="n"/>
      <c r="H123" s="13">
        <f>IF($A123="","",IF($F123="","",IF($F123&lt;0,"MISSED",IF($F123&lt;Contracts!$G$3,"ACT NOW","OK"))))</f>
        <v/>
      </c>
      <c r="I123" s="14">
        <f>IF($B123="","",SUMIFS(Contracts!$C$5:$C$204,Contracts!$B$5:$B$204,$B123))</f>
        <v/>
      </c>
      <c r="J123" s="8" t="n"/>
      <c r="K123" s="8" t="n"/>
      <c r="L123" s="8" t="n"/>
      <c r="M123" s="10" t="n"/>
      <c r="N123" s="14">
        <f>IF($A123="","",SUMIFS(Spend!$E$5:$E$204,Spend!$B$5:$B$204,$A123))</f>
        <v/>
      </c>
      <c r="O123" s="15">
        <f>IF($A123="","",IFERROR($N123/$C123,0))</f>
        <v/>
      </c>
      <c r="P123" s="8" t="n"/>
      <c r="Q123" s="8" t="n"/>
      <c r="R123" s="16">
        <f>IF($E123="","",COUNTIFS($E$5:$E$204,"&lt;"&amp;$E123)+COUNTIF($E$5:$E123,$E123))</f>
        <v/>
      </c>
    </row>
    <row r="124">
      <c r="A124" s="8" t="n"/>
      <c r="B124" s="8" t="n"/>
      <c r="C124" s="9" t="n"/>
      <c r="D124" s="10" t="n"/>
      <c r="E124" s="11">
        <f>IF($A124="","",IF($D124="","",$D124-IF($G124="",Contracts!$C$3,$G124)))</f>
        <v/>
      </c>
      <c r="F124" s="12">
        <f>IF($E124="","",$E124-TODAY())</f>
        <v/>
      </c>
      <c r="G124" s="6" t="n"/>
      <c r="H124" s="13">
        <f>IF($A124="","",IF($F124="","",IF($F124&lt;0,"MISSED",IF($F124&lt;Contracts!$G$3,"ACT NOW","OK"))))</f>
        <v/>
      </c>
      <c r="I124" s="14">
        <f>IF($B124="","",SUMIFS(Contracts!$C$5:$C$204,Contracts!$B$5:$B$204,$B124))</f>
        <v/>
      </c>
      <c r="J124" s="8" t="n"/>
      <c r="K124" s="8" t="n"/>
      <c r="L124" s="8" t="n"/>
      <c r="M124" s="10" t="n"/>
      <c r="N124" s="14">
        <f>IF($A124="","",SUMIFS(Spend!$E$5:$E$204,Spend!$B$5:$B$204,$A124))</f>
        <v/>
      </c>
      <c r="O124" s="15">
        <f>IF($A124="","",IFERROR($N124/$C124,0))</f>
        <v/>
      </c>
      <c r="P124" s="8" t="n"/>
      <c r="Q124" s="8" t="n"/>
      <c r="R124" s="16">
        <f>IF($E124="","",COUNTIFS($E$5:$E$204,"&lt;"&amp;$E124)+COUNTIF($E$5:$E124,$E124))</f>
        <v/>
      </c>
    </row>
    <row r="125">
      <c r="A125" s="8" t="n"/>
      <c r="B125" s="8" t="n"/>
      <c r="C125" s="9" t="n"/>
      <c r="D125" s="10" t="n"/>
      <c r="E125" s="11">
        <f>IF($A125="","",IF($D125="","",$D125-IF($G125="",Contracts!$C$3,$G125)))</f>
        <v/>
      </c>
      <c r="F125" s="12">
        <f>IF($E125="","",$E125-TODAY())</f>
        <v/>
      </c>
      <c r="G125" s="6" t="n"/>
      <c r="H125" s="13">
        <f>IF($A125="","",IF($F125="","",IF($F125&lt;0,"MISSED",IF($F125&lt;Contracts!$G$3,"ACT NOW","OK"))))</f>
        <v/>
      </c>
      <c r="I125" s="14">
        <f>IF($B125="","",SUMIFS(Contracts!$C$5:$C$204,Contracts!$B$5:$B$204,$B125))</f>
        <v/>
      </c>
      <c r="J125" s="8" t="n"/>
      <c r="K125" s="8" t="n"/>
      <c r="L125" s="8" t="n"/>
      <c r="M125" s="10" t="n"/>
      <c r="N125" s="14">
        <f>IF($A125="","",SUMIFS(Spend!$E$5:$E$204,Spend!$B$5:$B$204,$A125))</f>
        <v/>
      </c>
      <c r="O125" s="15">
        <f>IF($A125="","",IFERROR($N125/$C125,0))</f>
        <v/>
      </c>
      <c r="P125" s="8" t="n"/>
      <c r="Q125" s="8" t="n"/>
      <c r="R125" s="16">
        <f>IF($E125="","",COUNTIFS($E$5:$E$204,"&lt;"&amp;$E125)+COUNTIF($E$5:$E125,$E125))</f>
        <v/>
      </c>
    </row>
    <row r="126">
      <c r="A126" s="8" t="n"/>
      <c r="B126" s="8" t="n"/>
      <c r="C126" s="9" t="n"/>
      <c r="D126" s="10" t="n"/>
      <c r="E126" s="11">
        <f>IF($A126="","",IF($D126="","",$D126-IF($G126="",Contracts!$C$3,$G126)))</f>
        <v/>
      </c>
      <c r="F126" s="12">
        <f>IF($E126="","",$E126-TODAY())</f>
        <v/>
      </c>
      <c r="G126" s="6" t="n"/>
      <c r="H126" s="13">
        <f>IF($A126="","",IF($F126="","",IF($F126&lt;0,"MISSED",IF($F126&lt;Contracts!$G$3,"ACT NOW","OK"))))</f>
        <v/>
      </c>
      <c r="I126" s="14">
        <f>IF($B126="","",SUMIFS(Contracts!$C$5:$C$204,Contracts!$B$5:$B$204,$B126))</f>
        <v/>
      </c>
      <c r="J126" s="8" t="n"/>
      <c r="K126" s="8" t="n"/>
      <c r="L126" s="8" t="n"/>
      <c r="M126" s="10" t="n"/>
      <c r="N126" s="14">
        <f>IF($A126="","",SUMIFS(Spend!$E$5:$E$204,Spend!$B$5:$B$204,$A126))</f>
        <v/>
      </c>
      <c r="O126" s="15">
        <f>IF($A126="","",IFERROR($N126/$C126,0))</f>
        <v/>
      </c>
      <c r="P126" s="8" t="n"/>
      <c r="Q126" s="8" t="n"/>
      <c r="R126" s="16">
        <f>IF($E126="","",COUNTIFS($E$5:$E$204,"&lt;"&amp;$E126)+COUNTIF($E$5:$E126,$E126))</f>
        <v/>
      </c>
    </row>
    <row r="127">
      <c r="A127" s="8" t="n"/>
      <c r="B127" s="8" t="n"/>
      <c r="C127" s="9" t="n"/>
      <c r="D127" s="10" t="n"/>
      <c r="E127" s="11">
        <f>IF($A127="","",IF($D127="","",$D127-IF($G127="",Contracts!$C$3,$G127)))</f>
        <v/>
      </c>
      <c r="F127" s="12">
        <f>IF($E127="","",$E127-TODAY())</f>
        <v/>
      </c>
      <c r="G127" s="6" t="n"/>
      <c r="H127" s="13">
        <f>IF($A127="","",IF($F127="","",IF($F127&lt;0,"MISSED",IF($F127&lt;Contracts!$G$3,"ACT NOW","OK"))))</f>
        <v/>
      </c>
      <c r="I127" s="14">
        <f>IF($B127="","",SUMIFS(Contracts!$C$5:$C$204,Contracts!$B$5:$B$204,$B127))</f>
        <v/>
      </c>
      <c r="J127" s="8" t="n"/>
      <c r="K127" s="8" t="n"/>
      <c r="L127" s="8" t="n"/>
      <c r="M127" s="10" t="n"/>
      <c r="N127" s="14">
        <f>IF($A127="","",SUMIFS(Spend!$E$5:$E$204,Spend!$B$5:$B$204,$A127))</f>
        <v/>
      </c>
      <c r="O127" s="15">
        <f>IF($A127="","",IFERROR($N127/$C127,0))</f>
        <v/>
      </c>
      <c r="P127" s="8" t="n"/>
      <c r="Q127" s="8" t="n"/>
      <c r="R127" s="16">
        <f>IF($E127="","",COUNTIFS($E$5:$E$204,"&lt;"&amp;$E127)+COUNTIF($E$5:$E127,$E127))</f>
        <v/>
      </c>
    </row>
    <row r="128">
      <c r="A128" s="8" t="n"/>
      <c r="B128" s="8" t="n"/>
      <c r="C128" s="9" t="n"/>
      <c r="D128" s="10" t="n"/>
      <c r="E128" s="11">
        <f>IF($A128="","",IF($D128="","",$D128-IF($G128="",Contracts!$C$3,$G128)))</f>
        <v/>
      </c>
      <c r="F128" s="12">
        <f>IF($E128="","",$E128-TODAY())</f>
        <v/>
      </c>
      <c r="G128" s="6" t="n"/>
      <c r="H128" s="13">
        <f>IF($A128="","",IF($F128="","",IF($F128&lt;0,"MISSED",IF($F128&lt;Contracts!$G$3,"ACT NOW","OK"))))</f>
        <v/>
      </c>
      <c r="I128" s="14">
        <f>IF($B128="","",SUMIFS(Contracts!$C$5:$C$204,Contracts!$B$5:$B$204,$B128))</f>
        <v/>
      </c>
      <c r="J128" s="8" t="n"/>
      <c r="K128" s="8" t="n"/>
      <c r="L128" s="8" t="n"/>
      <c r="M128" s="10" t="n"/>
      <c r="N128" s="14">
        <f>IF($A128="","",SUMIFS(Spend!$E$5:$E$204,Spend!$B$5:$B$204,$A128))</f>
        <v/>
      </c>
      <c r="O128" s="15">
        <f>IF($A128="","",IFERROR($N128/$C128,0))</f>
        <v/>
      </c>
      <c r="P128" s="8" t="n"/>
      <c r="Q128" s="8" t="n"/>
      <c r="R128" s="16">
        <f>IF($E128="","",COUNTIFS($E$5:$E$204,"&lt;"&amp;$E128)+COUNTIF($E$5:$E128,$E128))</f>
        <v/>
      </c>
    </row>
    <row r="129">
      <c r="A129" s="8" t="n"/>
      <c r="B129" s="8" t="n"/>
      <c r="C129" s="9" t="n"/>
      <c r="D129" s="10" t="n"/>
      <c r="E129" s="11">
        <f>IF($A129="","",IF($D129="","",$D129-IF($G129="",Contracts!$C$3,$G129)))</f>
        <v/>
      </c>
      <c r="F129" s="12">
        <f>IF($E129="","",$E129-TODAY())</f>
        <v/>
      </c>
      <c r="G129" s="6" t="n"/>
      <c r="H129" s="13">
        <f>IF($A129="","",IF($F129="","",IF($F129&lt;0,"MISSED",IF($F129&lt;Contracts!$G$3,"ACT NOW","OK"))))</f>
        <v/>
      </c>
      <c r="I129" s="14">
        <f>IF($B129="","",SUMIFS(Contracts!$C$5:$C$204,Contracts!$B$5:$B$204,$B129))</f>
        <v/>
      </c>
      <c r="J129" s="8" t="n"/>
      <c r="K129" s="8" t="n"/>
      <c r="L129" s="8" t="n"/>
      <c r="M129" s="10" t="n"/>
      <c r="N129" s="14">
        <f>IF($A129="","",SUMIFS(Spend!$E$5:$E$204,Spend!$B$5:$B$204,$A129))</f>
        <v/>
      </c>
      <c r="O129" s="15">
        <f>IF($A129="","",IFERROR($N129/$C129,0))</f>
        <v/>
      </c>
      <c r="P129" s="8" t="n"/>
      <c r="Q129" s="8" t="n"/>
      <c r="R129" s="16">
        <f>IF($E129="","",COUNTIFS($E$5:$E$204,"&lt;"&amp;$E129)+COUNTIF($E$5:$E129,$E129))</f>
        <v/>
      </c>
    </row>
    <row r="130">
      <c r="A130" s="8" t="n"/>
      <c r="B130" s="8" t="n"/>
      <c r="C130" s="9" t="n"/>
      <c r="D130" s="10" t="n"/>
      <c r="E130" s="11">
        <f>IF($A130="","",IF($D130="","",$D130-IF($G130="",Contracts!$C$3,$G130)))</f>
        <v/>
      </c>
      <c r="F130" s="12">
        <f>IF($E130="","",$E130-TODAY())</f>
        <v/>
      </c>
      <c r="G130" s="6" t="n"/>
      <c r="H130" s="13">
        <f>IF($A130="","",IF($F130="","",IF($F130&lt;0,"MISSED",IF($F130&lt;Contracts!$G$3,"ACT NOW","OK"))))</f>
        <v/>
      </c>
      <c r="I130" s="14">
        <f>IF($B130="","",SUMIFS(Contracts!$C$5:$C$204,Contracts!$B$5:$B$204,$B130))</f>
        <v/>
      </c>
      <c r="J130" s="8" t="n"/>
      <c r="K130" s="8" t="n"/>
      <c r="L130" s="8" t="n"/>
      <c r="M130" s="10" t="n"/>
      <c r="N130" s="14">
        <f>IF($A130="","",SUMIFS(Spend!$E$5:$E$204,Spend!$B$5:$B$204,$A130))</f>
        <v/>
      </c>
      <c r="O130" s="15">
        <f>IF($A130="","",IFERROR($N130/$C130,0))</f>
        <v/>
      </c>
      <c r="P130" s="8" t="n"/>
      <c r="Q130" s="8" t="n"/>
      <c r="R130" s="16">
        <f>IF($E130="","",COUNTIFS($E$5:$E$204,"&lt;"&amp;$E130)+COUNTIF($E$5:$E130,$E130))</f>
        <v/>
      </c>
    </row>
    <row r="131">
      <c r="A131" s="8" t="n"/>
      <c r="B131" s="8" t="n"/>
      <c r="C131" s="9" t="n"/>
      <c r="D131" s="10" t="n"/>
      <c r="E131" s="11">
        <f>IF($A131="","",IF($D131="","",$D131-IF($G131="",Contracts!$C$3,$G131)))</f>
        <v/>
      </c>
      <c r="F131" s="12">
        <f>IF($E131="","",$E131-TODAY())</f>
        <v/>
      </c>
      <c r="G131" s="6" t="n"/>
      <c r="H131" s="13">
        <f>IF($A131="","",IF($F131="","",IF($F131&lt;0,"MISSED",IF($F131&lt;Contracts!$G$3,"ACT NOW","OK"))))</f>
        <v/>
      </c>
      <c r="I131" s="14">
        <f>IF($B131="","",SUMIFS(Contracts!$C$5:$C$204,Contracts!$B$5:$B$204,$B131))</f>
        <v/>
      </c>
      <c r="J131" s="8" t="n"/>
      <c r="K131" s="8" t="n"/>
      <c r="L131" s="8" t="n"/>
      <c r="M131" s="10" t="n"/>
      <c r="N131" s="14">
        <f>IF($A131="","",SUMIFS(Spend!$E$5:$E$204,Spend!$B$5:$B$204,$A131))</f>
        <v/>
      </c>
      <c r="O131" s="15">
        <f>IF($A131="","",IFERROR($N131/$C131,0))</f>
        <v/>
      </c>
      <c r="P131" s="8" t="n"/>
      <c r="Q131" s="8" t="n"/>
      <c r="R131" s="16">
        <f>IF($E131="","",COUNTIFS($E$5:$E$204,"&lt;"&amp;$E131)+COUNTIF($E$5:$E131,$E131))</f>
        <v/>
      </c>
    </row>
    <row r="132">
      <c r="A132" s="8" t="n"/>
      <c r="B132" s="8" t="n"/>
      <c r="C132" s="9" t="n"/>
      <c r="D132" s="10" t="n"/>
      <c r="E132" s="11">
        <f>IF($A132="","",IF($D132="","",$D132-IF($G132="",Contracts!$C$3,$G132)))</f>
        <v/>
      </c>
      <c r="F132" s="12">
        <f>IF($E132="","",$E132-TODAY())</f>
        <v/>
      </c>
      <c r="G132" s="6" t="n"/>
      <c r="H132" s="13">
        <f>IF($A132="","",IF($F132="","",IF($F132&lt;0,"MISSED",IF($F132&lt;Contracts!$G$3,"ACT NOW","OK"))))</f>
        <v/>
      </c>
      <c r="I132" s="14">
        <f>IF($B132="","",SUMIFS(Contracts!$C$5:$C$204,Contracts!$B$5:$B$204,$B132))</f>
        <v/>
      </c>
      <c r="J132" s="8" t="n"/>
      <c r="K132" s="8" t="n"/>
      <c r="L132" s="8" t="n"/>
      <c r="M132" s="10" t="n"/>
      <c r="N132" s="14">
        <f>IF($A132="","",SUMIFS(Spend!$E$5:$E$204,Spend!$B$5:$B$204,$A132))</f>
        <v/>
      </c>
      <c r="O132" s="15">
        <f>IF($A132="","",IFERROR($N132/$C132,0))</f>
        <v/>
      </c>
      <c r="P132" s="8" t="n"/>
      <c r="Q132" s="8" t="n"/>
      <c r="R132" s="16">
        <f>IF($E132="","",COUNTIFS($E$5:$E$204,"&lt;"&amp;$E132)+COUNTIF($E$5:$E132,$E132))</f>
        <v/>
      </c>
    </row>
    <row r="133">
      <c r="A133" s="8" t="n"/>
      <c r="B133" s="8" t="n"/>
      <c r="C133" s="9" t="n"/>
      <c r="D133" s="10" t="n"/>
      <c r="E133" s="11">
        <f>IF($A133="","",IF($D133="","",$D133-IF($G133="",Contracts!$C$3,$G133)))</f>
        <v/>
      </c>
      <c r="F133" s="12">
        <f>IF($E133="","",$E133-TODAY())</f>
        <v/>
      </c>
      <c r="G133" s="6" t="n"/>
      <c r="H133" s="13">
        <f>IF($A133="","",IF($F133="","",IF($F133&lt;0,"MISSED",IF($F133&lt;Contracts!$G$3,"ACT NOW","OK"))))</f>
        <v/>
      </c>
      <c r="I133" s="14">
        <f>IF($B133="","",SUMIFS(Contracts!$C$5:$C$204,Contracts!$B$5:$B$204,$B133))</f>
        <v/>
      </c>
      <c r="J133" s="8" t="n"/>
      <c r="K133" s="8" t="n"/>
      <c r="L133" s="8" t="n"/>
      <c r="M133" s="10" t="n"/>
      <c r="N133" s="14">
        <f>IF($A133="","",SUMIFS(Spend!$E$5:$E$204,Spend!$B$5:$B$204,$A133))</f>
        <v/>
      </c>
      <c r="O133" s="15">
        <f>IF($A133="","",IFERROR($N133/$C133,0))</f>
        <v/>
      </c>
      <c r="P133" s="8" t="n"/>
      <c r="Q133" s="8" t="n"/>
      <c r="R133" s="16">
        <f>IF($E133="","",COUNTIFS($E$5:$E$204,"&lt;"&amp;$E133)+COUNTIF($E$5:$E133,$E133))</f>
        <v/>
      </c>
    </row>
    <row r="134">
      <c r="A134" s="8" t="n"/>
      <c r="B134" s="8" t="n"/>
      <c r="C134" s="9" t="n"/>
      <c r="D134" s="10" t="n"/>
      <c r="E134" s="11">
        <f>IF($A134="","",IF($D134="","",$D134-IF($G134="",Contracts!$C$3,$G134)))</f>
        <v/>
      </c>
      <c r="F134" s="12">
        <f>IF($E134="","",$E134-TODAY())</f>
        <v/>
      </c>
      <c r="G134" s="6" t="n"/>
      <c r="H134" s="13">
        <f>IF($A134="","",IF($F134="","",IF($F134&lt;0,"MISSED",IF($F134&lt;Contracts!$G$3,"ACT NOW","OK"))))</f>
        <v/>
      </c>
      <c r="I134" s="14">
        <f>IF($B134="","",SUMIFS(Contracts!$C$5:$C$204,Contracts!$B$5:$B$204,$B134))</f>
        <v/>
      </c>
      <c r="J134" s="8" t="n"/>
      <c r="K134" s="8" t="n"/>
      <c r="L134" s="8" t="n"/>
      <c r="M134" s="10" t="n"/>
      <c r="N134" s="14">
        <f>IF($A134="","",SUMIFS(Spend!$E$5:$E$204,Spend!$B$5:$B$204,$A134))</f>
        <v/>
      </c>
      <c r="O134" s="15">
        <f>IF($A134="","",IFERROR($N134/$C134,0))</f>
        <v/>
      </c>
      <c r="P134" s="8" t="n"/>
      <c r="Q134" s="8" t="n"/>
      <c r="R134" s="16">
        <f>IF($E134="","",COUNTIFS($E$5:$E$204,"&lt;"&amp;$E134)+COUNTIF($E$5:$E134,$E134))</f>
        <v/>
      </c>
    </row>
    <row r="135">
      <c r="A135" s="8" t="n"/>
      <c r="B135" s="8" t="n"/>
      <c r="C135" s="9" t="n"/>
      <c r="D135" s="10" t="n"/>
      <c r="E135" s="11">
        <f>IF($A135="","",IF($D135="","",$D135-IF($G135="",Contracts!$C$3,$G135)))</f>
        <v/>
      </c>
      <c r="F135" s="12">
        <f>IF($E135="","",$E135-TODAY())</f>
        <v/>
      </c>
      <c r="G135" s="6" t="n"/>
      <c r="H135" s="13">
        <f>IF($A135="","",IF($F135="","",IF($F135&lt;0,"MISSED",IF($F135&lt;Contracts!$G$3,"ACT NOW","OK"))))</f>
        <v/>
      </c>
      <c r="I135" s="14">
        <f>IF($B135="","",SUMIFS(Contracts!$C$5:$C$204,Contracts!$B$5:$B$204,$B135))</f>
        <v/>
      </c>
      <c r="J135" s="8" t="n"/>
      <c r="K135" s="8" t="n"/>
      <c r="L135" s="8" t="n"/>
      <c r="M135" s="10" t="n"/>
      <c r="N135" s="14">
        <f>IF($A135="","",SUMIFS(Spend!$E$5:$E$204,Spend!$B$5:$B$204,$A135))</f>
        <v/>
      </c>
      <c r="O135" s="15">
        <f>IF($A135="","",IFERROR($N135/$C135,0))</f>
        <v/>
      </c>
      <c r="P135" s="8" t="n"/>
      <c r="Q135" s="8" t="n"/>
      <c r="R135" s="16">
        <f>IF($E135="","",COUNTIFS($E$5:$E$204,"&lt;"&amp;$E135)+COUNTIF($E$5:$E135,$E135))</f>
        <v/>
      </c>
    </row>
    <row r="136">
      <c r="A136" s="8" t="n"/>
      <c r="B136" s="8" t="n"/>
      <c r="C136" s="9" t="n"/>
      <c r="D136" s="10" t="n"/>
      <c r="E136" s="11">
        <f>IF($A136="","",IF($D136="","",$D136-IF($G136="",Contracts!$C$3,$G136)))</f>
        <v/>
      </c>
      <c r="F136" s="12">
        <f>IF($E136="","",$E136-TODAY())</f>
        <v/>
      </c>
      <c r="G136" s="6" t="n"/>
      <c r="H136" s="13">
        <f>IF($A136="","",IF($F136="","",IF($F136&lt;0,"MISSED",IF($F136&lt;Contracts!$G$3,"ACT NOW","OK"))))</f>
        <v/>
      </c>
      <c r="I136" s="14">
        <f>IF($B136="","",SUMIFS(Contracts!$C$5:$C$204,Contracts!$B$5:$B$204,$B136))</f>
        <v/>
      </c>
      <c r="J136" s="8" t="n"/>
      <c r="K136" s="8" t="n"/>
      <c r="L136" s="8" t="n"/>
      <c r="M136" s="10" t="n"/>
      <c r="N136" s="14">
        <f>IF($A136="","",SUMIFS(Spend!$E$5:$E$204,Spend!$B$5:$B$204,$A136))</f>
        <v/>
      </c>
      <c r="O136" s="15">
        <f>IF($A136="","",IFERROR($N136/$C136,0))</f>
        <v/>
      </c>
      <c r="P136" s="8" t="n"/>
      <c r="Q136" s="8" t="n"/>
      <c r="R136" s="16">
        <f>IF($E136="","",COUNTIFS($E$5:$E$204,"&lt;"&amp;$E136)+COUNTIF($E$5:$E136,$E136))</f>
        <v/>
      </c>
    </row>
    <row r="137">
      <c r="A137" s="8" t="n"/>
      <c r="B137" s="8" t="n"/>
      <c r="C137" s="9" t="n"/>
      <c r="D137" s="10" t="n"/>
      <c r="E137" s="11">
        <f>IF($A137="","",IF($D137="","",$D137-IF($G137="",Contracts!$C$3,$G137)))</f>
        <v/>
      </c>
      <c r="F137" s="12">
        <f>IF($E137="","",$E137-TODAY())</f>
        <v/>
      </c>
      <c r="G137" s="6" t="n"/>
      <c r="H137" s="13">
        <f>IF($A137="","",IF($F137="","",IF($F137&lt;0,"MISSED",IF($F137&lt;Contracts!$G$3,"ACT NOW","OK"))))</f>
        <v/>
      </c>
      <c r="I137" s="14">
        <f>IF($B137="","",SUMIFS(Contracts!$C$5:$C$204,Contracts!$B$5:$B$204,$B137))</f>
        <v/>
      </c>
      <c r="J137" s="8" t="n"/>
      <c r="K137" s="8" t="n"/>
      <c r="L137" s="8" t="n"/>
      <c r="M137" s="10" t="n"/>
      <c r="N137" s="14">
        <f>IF($A137="","",SUMIFS(Spend!$E$5:$E$204,Spend!$B$5:$B$204,$A137))</f>
        <v/>
      </c>
      <c r="O137" s="15">
        <f>IF($A137="","",IFERROR($N137/$C137,0))</f>
        <v/>
      </c>
      <c r="P137" s="8" t="n"/>
      <c r="Q137" s="8" t="n"/>
      <c r="R137" s="16">
        <f>IF($E137="","",COUNTIFS($E$5:$E$204,"&lt;"&amp;$E137)+COUNTIF($E$5:$E137,$E137))</f>
        <v/>
      </c>
    </row>
    <row r="138">
      <c r="A138" s="8" t="n"/>
      <c r="B138" s="8" t="n"/>
      <c r="C138" s="9" t="n"/>
      <c r="D138" s="10" t="n"/>
      <c r="E138" s="11">
        <f>IF($A138="","",IF($D138="","",$D138-IF($G138="",Contracts!$C$3,$G138)))</f>
        <v/>
      </c>
      <c r="F138" s="12">
        <f>IF($E138="","",$E138-TODAY())</f>
        <v/>
      </c>
      <c r="G138" s="6" t="n"/>
      <c r="H138" s="13">
        <f>IF($A138="","",IF($F138="","",IF($F138&lt;0,"MISSED",IF($F138&lt;Contracts!$G$3,"ACT NOW","OK"))))</f>
        <v/>
      </c>
      <c r="I138" s="14">
        <f>IF($B138="","",SUMIFS(Contracts!$C$5:$C$204,Contracts!$B$5:$B$204,$B138))</f>
        <v/>
      </c>
      <c r="J138" s="8" t="n"/>
      <c r="K138" s="8" t="n"/>
      <c r="L138" s="8" t="n"/>
      <c r="M138" s="10" t="n"/>
      <c r="N138" s="14">
        <f>IF($A138="","",SUMIFS(Spend!$E$5:$E$204,Spend!$B$5:$B$204,$A138))</f>
        <v/>
      </c>
      <c r="O138" s="15">
        <f>IF($A138="","",IFERROR($N138/$C138,0))</f>
        <v/>
      </c>
      <c r="P138" s="8" t="n"/>
      <c r="Q138" s="8" t="n"/>
      <c r="R138" s="16">
        <f>IF($E138="","",COUNTIFS($E$5:$E$204,"&lt;"&amp;$E138)+COUNTIF($E$5:$E138,$E138))</f>
        <v/>
      </c>
    </row>
    <row r="139">
      <c r="A139" s="8" t="n"/>
      <c r="B139" s="8" t="n"/>
      <c r="C139" s="9" t="n"/>
      <c r="D139" s="10" t="n"/>
      <c r="E139" s="11">
        <f>IF($A139="","",IF($D139="","",$D139-IF($G139="",Contracts!$C$3,$G139)))</f>
        <v/>
      </c>
      <c r="F139" s="12">
        <f>IF($E139="","",$E139-TODAY())</f>
        <v/>
      </c>
      <c r="G139" s="6" t="n"/>
      <c r="H139" s="13">
        <f>IF($A139="","",IF($F139="","",IF($F139&lt;0,"MISSED",IF($F139&lt;Contracts!$G$3,"ACT NOW","OK"))))</f>
        <v/>
      </c>
      <c r="I139" s="14">
        <f>IF($B139="","",SUMIFS(Contracts!$C$5:$C$204,Contracts!$B$5:$B$204,$B139))</f>
        <v/>
      </c>
      <c r="J139" s="8" t="n"/>
      <c r="K139" s="8" t="n"/>
      <c r="L139" s="8" t="n"/>
      <c r="M139" s="10" t="n"/>
      <c r="N139" s="14">
        <f>IF($A139="","",SUMIFS(Spend!$E$5:$E$204,Spend!$B$5:$B$204,$A139))</f>
        <v/>
      </c>
      <c r="O139" s="15">
        <f>IF($A139="","",IFERROR($N139/$C139,0))</f>
        <v/>
      </c>
      <c r="P139" s="8" t="n"/>
      <c r="Q139" s="8" t="n"/>
      <c r="R139" s="16">
        <f>IF($E139="","",COUNTIFS($E$5:$E$204,"&lt;"&amp;$E139)+COUNTIF($E$5:$E139,$E139))</f>
        <v/>
      </c>
    </row>
    <row r="140">
      <c r="A140" s="8" t="n"/>
      <c r="B140" s="8" t="n"/>
      <c r="C140" s="9" t="n"/>
      <c r="D140" s="10" t="n"/>
      <c r="E140" s="11">
        <f>IF($A140="","",IF($D140="","",$D140-IF($G140="",Contracts!$C$3,$G140)))</f>
        <v/>
      </c>
      <c r="F140" s="12">
        <f>IF($E140="","",$E140-TODAY())</f>
        <v/>
      </c>
      <c r="G140" s="6" t="n"/>
      <c r="H140" s="13">
        <f>IF($A140="","",IF($F140="","",IF($F140&lt;0,"MISSED",IF($F140&lt;Contracts!$G$3,"ACT NOW","OK"))))</f>
        <v/>
      </c>
      <c r="I140" s="14">
        <f>IF($B140="","",SUMIFS(Contracts!$C$5:$C$204,Contracts!$B$5:$B$204,$B140))</f>
        <v/>
      </c>
      <c r="J140" s="8" t="n"/>
      <c r="K140" s="8" t="n"/>
      <c r="L140" s="8" t="n"/>
      <c r="M140" s="10" t="n"/>
      <c r="N140" s="14">
        <f>IF($A140="","",SUMIFS(Spend!$E$5:$E$204,Spend!$B$5:$B$204,$A140))</f>
        <v/>
      </c>
      <c r="O140" s="15">
        <f>IF($A140="","",IFERROR($N140/$C140,0))</f>
        <v/>
      </c>
      <c r="P140" s="8" t="n"/>
      <c r="Q140" s="8" t="n"/>
      <c r="R140" s="16">
        <f>IF($E140="","",COUNTIFS($E$5:$E$204,"&lt;"&amp;$E140)+COUNTIF($E$5:$E140,$E140))</f>
        <v/>
      </c>
    </row>
    <row r="141">
      <c r="A141" s="8" t="n"/>
      <c r="B141" s="8" t="n"/>
      <c r="C141" s="9" t="n"/>
      <c r="D141" s="10" t="n"/>
      <c r="E141" s="11">
        <f>IF($A141="","",IF($D141="","",$D141-IF($G141="",Contracts!$C$3,$G141)))</f>
        <v/>
      </c>
      <c r="F141" s="12">
        <f>IF($E141="","",$E141-TODAY())</f>
        <v/>
      </c>
      <c r="G141" s="6" t="n"/>
      <c r="H141" s="13">
        <f>IF($A141="","",IF($F141="","",IF($F141&lt;0,"MISSED",IF($F141&lt;Contracts!$G$3,"ACT NOW","OK"))))</f>
        <v/>
      </c>
      <c r="I141" s="14">
        <f>IF($B141="","",SUMIFS(Contracts!$C$5:$C$204,Contracts!$B$5:$B$204,$B141))</f>
        <v/>
      </c>
      <c r="J141" s="8" t="n"/>
      <c r="K141" s="8" t="n"/>
      <c r="L141" s="8" t="n"/>
      <c r="M141" s="10" t="n"/>
      <c r="N141" s="14">
        <f>IF($A141="","",SUMIFS(Spend!$E$5:$E$204,Spend!$B$5:$B$204,$A141))</f>
        <v/>
      </c>
      <c r="O141" s="15">
        <f>IF($A141="","",IFERROR($N141/$C141,0))</f>
        <v/>
      </c>
      <c r="P141" s="8" t="n"/>
      <c r="Q141" s="8" t="n"/>
      <c r="R141" s="16">
        <f>IF($E141="","",COUNTIFS($E$5:$E$204,"&lt;"&amp;$E141)+COUNTIF($E$5:$E141,$E141))</f>
        <v/>
      </c>
    </row>
    <row r="142">
      <c r="A142" s="8" t="n"/>
      <c r="B142" s="8" t="n"/>
      <c r="C142" s="9" t="n"/>
      <c r="D142" s="10" t="n"/>
      <c r="E142" s="11">
        <f>IF($A142="","",IF($D142="","",$D142-IF($G142="",Contracts!$C$3,$G142)))</f>
        <v/>
      </c>
      <c r="F142" s="12">
        <f>IF($E142="","",$E142-TODAY())</f>
        <v/>
      </c>
      <c r="G142" s="6" t="n"/>
      <c r="H142" s="13">
        <f>IF($A142="","",IF($F142="","",IF($F142&lt;0,"MISSED",IF($F142&lt;Contracts!$G$3,"ACT NOW","OK"))))</f>
        <v/>
      </c>
      <c r="I142" s="14">
        <f>IF($B142="","",SUMIFS(Contracts!$C$5:$C$204,Contracts!$B$5:$B$204,$B142))</f>
        <v/>
      </c>
      <c r="J142" s="8" t="n"/>
      <c r="K142" s="8" t="n"/>
      <c r="L142" s="8" t="n"/>
      <c r="M142" s="10" t="n"/>
      <c r="N142" s="14">
        <f>IF($A142="","",SUMIFS(Spend!$E$5:$E$204,Spend!$B$5:$B$204,$A142))</f>
        <v/>
      </c>
      <c r="O142" s="15">
        <f>IF($A142="","",IFERROR($N142/$C142,0))</f>
        <v/>
      </c>
      <c r="P142" s="8" t="n"/>
      <c r="Q142" s="8" t="n"/>
      <c r="R142" s="16">
        <f>IF($E142="","",COUNTIFS($E$5:$E$204,"&lt;"&amp;$E142)+COUNTIF($E$5:$E142,$E142))</f>
        <v/>
      </c>
    </row>
    <row r="143">
      <c r="A143" s="8" t="n"/>
      <c r="B143" s="8" t="n"/>
      <c r="C143" s="9" t="n"/>
      <c r="D143" s="10" t="n"/>
      <c r="E143" s="11">
        <f>IF($A143="","",IF($D143="","",$D143-IF($G143="",Contracts!$C$3,$G143)))</f>
        <v/>
      </c>
      <c r="F143" s="12">
        <f>IF($E143="","",$E143-TODAY())</f>
        <v/>
      </c>
      <c r="G143" s="6" t="n"/>
      <c r="H143" s="13">
        <f>IF($A143="","",IF($F143="","",IF($F143&lt;0,"MISSED",IF($F143&lt;Contracts!$G$3,"ACT NOW","OK"))))</f>
        <v/>
      </c>
      <c r="I143" s="14">
        <f>IF($B143="","",SUMIFS(Contracts!$C$5:$C$204,Contracts!$B$5:$B$204,$B143))</f>
        <v/>
      </c>
      <c r="J143" s="8" t="n"/>
      <c r="K143" s="8" t="n"/>
      <c r="L143" s="8" t="n"/>
      <c r="M143" s="10" t="n"/>
      <c r="N143" s="14">
        <f>IF($A143="","",SUMIFS(Spend!$E$5:$E$204,Spend!$B$5:$B$204,$A143))</f>
        <v/>
      </c>
      <c r="O143" s="15">
        <f>IF($A143="","",IFERROR($N143/$C143,0))</f>
        <v/>
      </c>
      <c r="P143" s="8" t="n"/>
      <c r="Q143" s="8" t="n"/>
      <c r="R143" s="16">
        <f>IF($E143="","",COUNTIFS($E$5:$E$204,"&lt;"&amp;$E143)+COUNTIF($E$5:$E143,$E143))</f>
        <v/>
      </c>
    </row>
    <row r="144">
      <c r="A144" s="8" t="n"/>
      <c r="B144" s="8" t="n"/>
      <c r="C144" s="9" t="n"/>
      <c r="D144" s="10" t="n"/>
      <c r="E144" s="11">
        <f>IF($A144="","",IF($D144="","",$D144-IF($G144="",Contracts!$C$3,$G144)))</f>
        <v/>
      </c>
      <c r="F144" s="12">
        <f>IF($E144="","",$E144-TODAY())</f>
        <v/>
      </c>
      <c r="G144" s="6" t="n"/>
      <c r="H144" s="13">
        <f>IF($A144="","",IF($F144="","",IF($F144&lt;0,"MISSED",IF($F144&lt;Contracts!$G$3,"ACT NOW","OK"))))</f>
        <v/>
      </c>
      <c r="I144" s="14">
        <f>IF($B144="","",SUMIFS(Contracts!$C$5:$C$204,Contracts!$B$5:$B$204,$B144))</f>
        <v/>
      </c>
      <c r="J144" s="8" t="n"/>
      <c r="K144" s="8" t="n"/>
      <c r="L144" s="8" t="n"/>
      <c r="M144" s="10" t="n"/>
      <c r="N144" s="14">
        <f>IF($A144="","",SUMIFS(Spend!$E$5:$E$204,Spend!$B$5:$B$204,$A144))</f>
        <v/>
      </c>
      <c r="O144" s="15">
        <f>IF($A144="","",IFERROR($N144/$C144,0))</f>
        <v/>
      </c>
      <c r="P144" s="8" t="n"/>
      <c r="Q144" s="8" t="n"/>
      <c r="R144" s="16">
        <f>IF($E144="","",COUNTIFS($E$5:$E$204,"&lt;"&amp;$E144)+COUNTIF($E$5:$E144,$E144))</f>
        <v/>
      </c>
    </row>
    <row r="145">
      <c r="A145" s="8" t="n"/>
      <c r="B145" s="8" t="n"/>
      <c r="C145" s="9" t="n"/>
      <c r="D145" s="10" t="n"/>
      <c r="E145" s="11">
        <f>IF($A145="","",IF($D145="","",$D145-IF($G145="",Contracts!$C$3,$G145)))</f>
        <v/>
      </c>
      <c r="F145" s="12">
        <f>IF($E145="","",$E145-TODAY())</f>
        <v/>
      </c>
      <c r="G145" s="6" t="n"/>
      <c r="H145" s="13">
        <f>IF($A145="","",IF($F145="","",IF($F145&lt;0,"MISSED",IF($F145&lt;Contracts!$G$3,"ACT NOW","OK"))))</f>
        <v/>
      </c>
      <c r="I145" s="14">
        <f>IF($B145="","",SUMIFS(Contracts!$C$5:$C$204,Contracts!$B$5:$B$204,$B145))</f>
        <v/>
      </c>
      <c r="J145" s="8" t="n"/>
      <c r="K145" s="8" t="n"/>
      <c r="L145" s="8" t="n"/>
      <c r="M145" s="10" t="n"/>
      <c r="N145" s="14">
        <f>IF($A145="","",SUMIFS(Spend!$E$5:$E$204,Spend!$B$5:$B$204,$A145))</f>
        <v/>
      </c>
      <c r="O145" s="15">
        <f>IF($A145="","",IFERROR($N145/$C145,0))</f>
        <v/>
      </c>
      <c r="P145" s="8" t="n"/>
      <c r="Q145" s="8" t="n"/>
      <c r="R145" s="16">
        <f>IF($E145="","",COUNTIFS($E$5:$E$204,"&lt;"&amp;$E145)+COUNTIF($E$5:$E145,$E145))</f>
        <v/>
      </c>
    </row>
    <row r="146">
      <c r="A146" s="8" t="n"/>
      <c r="B146" s="8" t="n"/>
      <c r="C146" s="9" t="n"/>
      <c r="D146" s="10" t="n"/>
      <c r="E146" s="11">
        <f>IF($A146="","",IF($D146="","",$D146-IF($G146="",Contracts!$C$3,$G146)))</f>
        <v/>
      </c>
      <c r="F146" s="12">
        <f>IF($E146="","",$E146-TODAY())</f>
        <v/>
      </c>
      <c r="G146" s="6" t="n"/>
      <c r="H146" s="13">
        <f>IF($A146="","",IF($F146="","",IF($F146&lt;0,"MISSED",IF($F146&lt;Contracts!$G$3,"ACT NOW","OK"))))</f>
        <v/>
      </c>
      <c r="I146" s="14">
        <f>IF($B146="","",SUMIFS(Contracts!$C$5:$C$204,Contracts!$B$5:$B$204,$B146))</f>
        <v/>
      </c>
      <c r="J146" s="8" t="n"/>
      <c r="K146" s="8" t="n"/>
      <c r="L146" s="8" t="n"/>
      <c r="M146" s="10" t="n"/>
      <c r="N146" s="14">
        <f>IF($A146="","",SUMIFS(Spend!$E$5:$E$204,Spend!$B$5:$B$204,$A146))</f>
        <v/>
      </c>
      <c r="O146" s="15">
        <f>IF($A146="","",IFERROR($N146/$C146,0))</f>
        <v/>
      </c>
      <c r="P146" s="8" t="n"/>
      <c r="Q146" s="8" t="n"/>
      <c r="R146" s="16">
        <f>IF($E146="","",COUNTIFS($E$5:$E$204,"&lt;"&amp;$E146)+COUNTIF($E$5:$E146,$E146))</f>
        <v/>
      </c>
    </row>
    <row r="147">
      <c r="A147" s="8" t="n"/>
      <c r="B147" s="8" t="n"/>
      <c r="C147" s="9" t="n"/>
      <c r="D147" s="10" t="n"/>
      <c r="E147" s="11">
        <f>IF($A147="","",IF($D147="","",$D147-IF($G147="",Contracts!$C$3,$G147)))</f>
        <v/>
      </c>
      <c r="F147" s="12">
        <f>IF($E147="","",$E147-TODAY())</f>
        <v/>
      </c>
      <c r="G147" s="6" t="n"/>
      <c r="H147" s="13">
        <f>IF($A147="","",IF($F147="","",IF($F147&lt;0,"MISSED",IF($F147&lt;Contracts!$G$3,"ACT NOW","OK"))))</f>
        <v/>
      </c>
      <c r="I147" s="14">
        <f>IF($B147="","",SUMIFS(Contracts!$C$5:$C$204,Contracts!$B$5:$B$204,$B147))</f>
        <v/>
      </c>
      <c r="J147" s="8" t="n"/>
      <c r="K147" s="8" t="n"/>
      <c r="L147" s="8" t="n"/>
      <c r="M147" s="10" t="n"/>
      <c r="N147" s="14">
        <f>IF($A147="","",SUMIFS(Spend!$E$5:$E$204,Spend!$B$5:$B$204,$A147))</f>
        <v/>
      </c>
      <c r="O147" s="15">
        <f>IF($A147="","",IFERROR($N147/$C147,0))</f>
        <v/>
      </c>
      <c r="P147" s="8" t="n"/>
      <c r="Q147" s="8" t="n"/>
      <c r="R147" s="16">
        <f>IF($E147="","",COUNTIFS($E$5:$E$204,"&lt;"&amp;$E147)+COUNTIF($E$5:$E147,$E147))</f>
        <v/>
      </c>
    </row>
    <row r="148">
      <c r="A148" s="8" t="n"/>
      <c r="B148" s="8" t="n"/>
      <c r="C148" s="9" t="n"/>
      <c r="D148" s="10" t="n"/>
      <c r="E148" s="11">
        <f>IF($A148="","",IF($D148="","",$D148-IF($G148="",Contracts!$C$3,$G148)))</f>
        <v/>
      </c>
      <c r="F148" s="12">
        <f>IF($E148="","",$E148-TODAY())</f>
        <v/>
      </c>
      <c r="G148" s="6" t="n"/>
      <c r="H148" s="13">
        <f>IF($A148="","",IF($F148="","",IF($F148&lt;0,"MISSED",IF($F148&lt;Contracts!$G$3,"ACT NOW","OK"))))</f>
        <v/>
      </c>
      <c r="I148" s="14">
        <f>IF($B148="","",SUMIFS(Contracts!$C$5:$C$204,Contracts!$B$5:$B$204,$B148))</f>
        <v/>
      </c>
      <c r="J148" s="8" t="n"/>
      <c r="K148" s="8" t="n"/>
      <c r="L148" s="8" t="n"/>
      <c r="M148" s="10" t="n"/>
      <c r="N148" s="14">
        <f>IF($A148="","",SUMIFS(Spend!$E$5:$E$204,Spend!$B$5:$B$204,$A148))</f>
        <v/>
      </c>
      <c r="O148" s="15">
        <f>IF($A148="","",IFERROR($N148/$C148,0))</f>
        <v/>
      </c>
      <c r="P148" s="8" t="n"/>
      <c r="Q148" s="8" t="n"/>
      <c r="R148" s="16">
        <f>IF($E148="","",COUNTIFS($E$5:$E$204,"&lt;"&amp;$E148)+COUNTIF($E$5:$E148,$E148))</f>
        <v/>
      </c>
    </row>
    <row r="149">
      <c r="A149" s="8" t="n"/>
      <c r="B149" s="8" t="n"/>
      <c r="C149" s="9" t="n"/>
      <c r="D149" s="10" t="n"/>
      <c r="E149" s="11">
        <f>IF($A149="","",IF($D149="","",$D149-IF($G149="",Contracts!$C$3,$G149)))</f>
        <v/>
      </c>
      <c r="F149" s="12">
        <f>IF($E149="","",$E149-TODAY())</f>
        <v/>
      </c>
      <c r="G149" s="6" t="n"/>
      <c r="H149" s="13">
        <f>IF($A149="","",IF($F149="","",IF($F149&lt;0,"MISSED",IF($F149&lt;Contracts!$G$3,"ACT NOW","OK"))))</f>
        <v/>
      </c>
      <c r="I149" s="14">
        <f>IF($B149="","",SUMIFS(Contracts!$C$5:$C$204,Contracts!$B$5:$B$204,$B149))</f>
        <v/>
      </c>
      <c r="J149" s="8" t="n"/>
      <c r="K149" s="8" t="n"/>
      <c r="L149" s="8" t="n"/>
      <c r="M149" s="10" t="n"/>
      <c r="N149" s="14">
        <f>IF($A149="","",SUMIFS(Spend!$E$5:$E$204,Spend!$B$5:$B$204,$A149))</f>
        <v/>
      </c>
      <c r="O149" s="15">
        <f>IF($A149="","",IFERROR($N149/$C149,0))</f>
        <v/>
      </c>
      <c r="P149" s="8" t="n"/>
      <c r="Q149" s="8" t="n"/>
      <c r="R149" s="16">
        <f>IF($E149="","",COUNTIFS($E$5:$E$204,"&lt;"&amp;$E149)+COUNTIF($E$5:$E149,$E149))</f>
        <v/>
      </c>
    </row>
    <row r="150">
      <c r="A150" s="8" t="n"/>
      <c r="B150" s="8" t="n"/>
      <c r="C150" s="9" t="n"/>
      <c r="D150" s="10" t="n"/>
      <c r="E150" s="11">
        <f>IF($A150="","",IF($D150="","",$D150-IF($G150="",Contracts!$C$3,$G150)))</f>
        <v/>
      </c>
      <c r="F150" s="12">
        <f>IF($E150="","",$E150-TODAY())</f>
        <v/>
      </c>
      <c r="G150" s="6" t="n"/>
      <c r="H150" s="13">
        <f>IF($A150="","",IF($F150="","",IF($F150&lt;0,"MISSED",IF($F150&lt;Contracts!$G$3,"ACT NOW","OK"))))</f>
        <v/>
      </c>
      <c r="I150" s="14">
        <f>IF($B150="","",SUMIFS(Contracts!$C$5:$C$204,Contracts!$B$5:$B$204,$B150))</f>
        <v/>
      </c>
      <c r="J150" s="8" t="n"/>
      <c r="K150" s="8" t="n"/>
      <c r="L150" s="8" t="n"/>
      <c r="M150" s="10" t="n"/>
      <c r="N150" s="14">
        <f>IF($A150="","",SUMIFS(Spend!$E$5:$E$204,Spend!$B$5:$B$204,$A150))</f>
        <v/>
      </c>
      <c r="O150" s="15">
        <f>IF($A150="","",IFERROR($N150/$C150,0))</f>
        <v/>
      </c>
      <c r="P150" s="8" t="n"/>
      <c r="Q150" s="8" t="n"/>
      <c r="R150" s="16">
        <f>IF($E150="","",COUNTIFS($E$5:$E$204,"&lt;"&amp;$E150)+COUNTIF($E$5:$E150,$E150))</f>
        <v/>
      </c>
    </row>
    <row r="151">
      <c r="A151" s="8" t="n"/>
      <c r="B151" s="8" t="n"/>
      <c r="C151" s="9" t="n"/>
      <c r="D151" s="10" t="n"/>
      <c r="E151" s="11">
        <f>IF($A151="","",IF($D151="","",$D151-IF($G151="",Contracts!$C$3,$G151)))</f>
        <v/>
      </c>
      <c r="F151" s="12">
        <f>IF($E151="","",$E151-TODAY())</f>
        <v/>
      </c>
      <c r="G151" s="6" t="n"/>
      <c r="H151" s="13">
        <f>IF($A151="","",IF($F151="","",IF($F151&lt;0,"MISSED",IF($F151&lt;Contracts!$G$3,"ACT NOW","OK"))))</f>
        <v/>
      </c>
      <c r="I151" s="14">
        <f>IF($B151="","",SUMIFS(Contracts!$C$5:$C$204,Contracts!$B$5:$B$204,$B151))</f>
        <v/>
      </c>
      <c r="J151" s="8" t="n"/>
      <c r="K151" s="8" t="n"/>
      <c r="L151" s="8" t="n"/>
      <c r="M151" s="10" t="n"/>
      <c r="N151" s="14">
        <f>IF($A151="","",SUMIFS(Spend!$E$5:$E$204,Spend!$B$5:$B$204,$A151))</f>
        <v/>
      </c>
      <c r="O151" s="15">
        <f>IF($A151="","",IFERROR($N151/$C151,0))</f>
        <v/>
      </c>
      <c r="P151" s="8" t="n"/>
      <c r="Q151" s="8" t="n"/>
      <c r="R151" s="16">
        <f>IF($E151="","",COUNTIFS($E$5:$E$204,"&lt;"&amp;$E151)+COUNTIF($E$5:$E151,$E151))</f>
        <v/>
      </c>
    </row>
    <row r="152">
      <c r="A152" s="8" t="n"/>
      <c r="B152" s="8" t="n"/>
      <c r="C152" s="9" t="n"/>
      <c r="D152" s="10" t="n"/>
      <c r="E152" s="11">
        <f>IF($A152="","",IF($D152="","",$D152-IF($G152="",Contracts!$C$3,$G152)))</f>
        <v/>
      </c>
      <c r="F152" s="12">
        <f>IF($E152="","",$E152-TODAY())</f>
        <v/>
      </c>
      <c r="G152" s="6" t="n"/>
      <c r="H152" s="13">
        <f>IF($A152="","",IF($F152="","",IF($F152&lt;0,"MISSED",IF($F152&lt;Contracts!$G$3,"ACT NOW","OK"))))</f>
        <v/>
      </c>
      <c r="I152" s="14">
        <f>IF($B152="","",SUMIFS(Contracts!$C$5:$C$204,Contracts!$B$5:$B$204,$B152))</f>
        <v/>
      </c>
      <c r="J152" s="8" t="n"/>
      <c r="K152" s="8" t="n"/>
      <c r="L152" s="8" t="n"/>
      <c r="M152" s="10" t="n"/>
      <c r="N152" s="14">
        <f>IF($A152="","",SUMIFS(Spend!$E$5:$E$204,Spend!$B$5:$B$204,$A152))</f>
        <v/>
      </c>
      <c r="O152" s="15">
        <f>IF($A152="","",IFERROR($N152/$C152,0))</f>
        <v/>
      </c>
      <c r="P152" s="8" t="n"/>
      <c r="Q152" s="8" t="n"/>
      <c r="R152" s="16">
        <f>IF($E152="","",COUNTIFS($E$5:$E$204,"&lt;"&amp;$E152)+COUNTIF($E$5:$E152,$E152))</f>
        <v/>
      </c>
    </row>
    <row r="153">
      <c r="A153" s="8" t="n"/>
      <c r="B153" s="8" t="n"/>
      <c r="C153" s="9" t="n"/>
      <c r="D153" s="10" t="n"/>
      <c r="E153" s="11">
        <f>IF($A153="","",IF($D153="","",$D153-IF($G153="",Contracts!$C$3,$G153)))</f>
        <v/>
      </c>
      <c r="F153" s="12">
        <f>IF($E153="","",$E153-TODAY())</f>
        <v/>
      </c>
      <c r="G153" s="6" t="n"/>
      <c r="H153" s="13">
        <f>IF($A153="","",IF($F153="","",IF($F153&lt;0,"MISSED",IF($F153&lt;Contracts!$G$3,"ACT NOW","OK"))))</f>
        <v/>
      </c>
      <c r="I153" s="14">
        <f>IF($B153="","",SUMIFS(Contracts!$C$5:$C$204,Contracts!$B$5:$B$204,$B153))</f>
        <v/>
      </c>
      <c r="J153" s="8" t="n"/>
      <c r="K153" s="8" t="n"/>
      <c r="L153" s="8" t="n"/>
      <c r="M153" s="10" t="n"/>
      <c r="N153" s="14">
        <f>IF($A153="","",SUMIFS(Spend!$E$5:$E$204,Spend!$B$5:$B$204,$A153))</f>
        <v/>
      </c>
      <c r="O153" s="15">
        <f>IF($A153="","",IFERROR($N153/$C153,0))</f>
        <v/>
      </c>
      <c r="P153" s="8" t="n"/>
      <c r="Q153" s="8" t="n"/>
      <c r="R153" s="16">
        <f>IF($E153="","",COUNTIFS($E$5:$E$204,"&lt;"&amp;$E153)+COUNTIF($E$5:$E153,$E153))</f>
        <v/>
      </c>
    </row>
    <row r="154">
      <c r="A154" s="8" t="n"/>
      <c r="B154" s="8" t="n"/>
      <c r="C154" s="9" t="n"/>
      <c r="D154" s="10" t="n"/>
      <c r="E154" s="11">
        <f>IF($A154="","",IF($D154="","",$D154-IF($G154="",Contracts!$C$3,$G154)))</f>
        <v/>
      </c>
      <c r="F154" s="12">
        <f>IF($E154="","",$E154-TODAY())</f>
        <v/>
      </c>
      <c r="G154" s="6" t="n"/>
      <c r="H154" s="13">
        <f>IF($A154="","",IF($F154="","",IF($F154&lt;0,"MISSED",IF($F154&lt;Contracts!$G$3,"ACT NOW","OK"))))</f>
        <v/>
      </c>
      <c r="I154" s="14">
        <f>IF($B154="","",SUMIFS(Contracts!$C$5:$C$204,Contracts!$B$5:$B$204,$B154))</f>
        <v/>
      </c>
      <c r="J154" s="8" t="n"/>
      <c r="K154" s="8" t="n"/>
      <c r="L154" s="8" t="n"/>
      <c r="M154" s="10" t="n"/>
      <c r="N154" s="14">
        <f>IF($A154="","",SUMIFS(Spend!$E$5:$E$204,Spend!$B$5:$B$204,$A154))</f>
        <v/>
      </c>
      <c r="O154" s="15">
        <f>IF($A154="","",IFERROR($N154/$C154,0))</f>
        <v/>
      </c>
      <c r="P154" s="8" t="n"/>
      <c r="Q154" s="8" t="n"/>
      <c r="R154" s="16">
        <f>IF($E154="","",COUNTIFS($E$5:$E$204,"&lt;"&amp;$E154)+COUNTIF($E$5:$E154,$E154))</f>
        <v/>
      </c>
    </row>
    <row r="155">
      <c r="A155" s="8" t="n"/>
      <c r="B155" s="8" t="n"/>
      <c r="C155" s="9" t="n"/>
      <c r="D155" s="10" t="n"/>
      <c r="E155" s="11">
        <f>IF($A155="","",IF($D155="","",$D155-IF($G155="",Contracts!$C$3,$G155)))</f>
        <v/>
      </c>
      <c r="F155" s="12">
        <f>IF($E155="","",$E155-TODAY())</f>
        <v/>
      </c>
      <c r="G155" s="6" t="n"/>
      <c r="H155" s="13">
        <f>IF($A155="","",IF($F155="","",IF($F155&lt;0,"MISSED",IF($F155&lt;Contracts!$G$3,"ACT NOW","OK"))))</f>
        <v/>
      </c>
      <c r="I155" s="14">
        <f>IF($B155="","",SUMIFS(Contracts!$C$5:$C$204,Contracts!$B$5:$B$204,$B155))</f>
        <v/>
      </c>
      <c r="J155" s="8" t="n"/>
      <c r="K155" s="8" t="n"/>
      <c r="L155" s="8" t="n"/>
      <c r="M155" s="10" t="n"/>
      <c r="N155" s="14">
        <f>IF($A155="","",SUMIFS(Spend!$E$5:$E$204,Spend!$B$5:$B$204,$A155))</f>
        <v/>
      </c>
      <c r="O155" s="15">
        <f>IF($A155="","",IFERROR($N155/$C155,0))</f>
        <v/>
      </c>
      <c r="P155" s="8" t="n"/>
      <c r="Q155" s="8" t="n"/>
      <c r="R155" s="16">
        <f>IF($E155="","",COUNTIFS($E$5:$E$204,"&lt;"&amp;$E155)+COUNTIF($E$5:$E155,$E155))</f>
        <v/>
      </c>
    </row>
    <row r="156">
      <c r="A156" s="8" t="n"/>
      <c r="B156" s="8" t="n"/>
      <c r="C156" s="9" t="n"/>
      <c r="D156" s="10" t="n"/>
      <c r="E156" s="11">
        <f>IF($A156="","",IF($D156="","",$D156-IF($G156="",Contracts!$C$3,$G156)))</f>
        <v/>
      </c>
      <c r="F156" s="12">
        <f>IF($E156="","",$E156-TODAY())</f>
        <v/>
      </c>
      <c r="G156" s="6" t="n"/>
      <c r="H156" s="13">
        <f>IF($A156="","",IF($F156="","",IF($F156&lt;0,"MISSED",IF($F156&lt;Contracts!$G$3,"ACT NOW","OK"))))</f>
        <v/>
      </c>
      <c r="I156" s="14">
        <f>IF($B156="","",SUMIFS(Contracts!$C$5:$C$204,Contracts!$B$5:$B$204,$B156))</f>
        <v/>
      </c>
      <c r="J156" s="8" t="n"/>
      <c r="K156" s="8" t="n"/>
      <c r="L156" s="8" t="n"/>
      <c r="M156" s="10" t="n"/>
      <c r="N156" s="14">
        <f>IF($A156="","",SUMIFS(Spend!$E$5:$E$204,Spend!$B$5:$B$204,$A156))</f>
        <v/>
      </c>
      <c r="O156" s="15">
        <f>IF($A156="","",IFERROR($N156/$C156,0))</f>
        <v/>
      </c>
      <c r="P156" s="8" t="n"/>
      <c r="Q156" s="8" t="n"/>
      <c r="R156" s="16">
        <f>IF($E156="","",COUNTIFS($E$5:$E$204,"&lt;"&amp;$E156)+COUNTIF($E$5:$E156,$E156))</f>
        <v/>
      </c>
    </row>
    <row r="157">
      <c r="A157" s="8" t="n"/>
      <c r="B157" s="8" t="n"/>
      <c r="C157" s="9" t="n"/>
      <c r="D157" s="10" t="n"/>
      <c r="E157" s="11">
        <f>IF($A157="","",IF($D157="","",$D157-IF($G157="",Contracts!$C$3,$G157)))</f>
        <v/>
      </c>
      <c r="F157" s="12">
        <f>IF($E157="","",$E157-TODAY())</f>
        <v/>
      </c>
      <c r="G157" s="6" t="n"/>
      <c r="H157" s="13">
        <f>IF($A157="","",IF($F157="","",IF($F157&lt;0,"MISSED",IF($F157&lt;Contracts!$G$3,"ACT NOW","OK"))))</f>
        <v/>
      </c>
      <c r="I157" s="14">
        <f>IF($B157="","",SUMIFS(Contracts!$C$5:$C$204,Contracts!$B$5:$B$204,$B157))</f>
        <v/>
      </c>
      <c r="J157" s="8" t="n"/>
      <c r="K157" s="8" t="n"/>
      <c r="L157" s="8" t="n"/>
      <c r="M157" s="10" t="n"/>
      <c r="N157" s="14">
        <f>IF($A157="","",SUMIFS(Spend!$E$5:$E$204,Spend!$B$5:$B$204,$A157))</f>
        <v/>
      </c>
      <c r="O157" s="15">
        <f>IF($A157="","",IFERROR($N157/$C157,0))</f>
        <v/>
      </c>
      <c r="P157" s="8" t="n"/>
      <c r="Q157" s="8" t="n"/>
      <c r="R157" s="16">
        <f>IF($E157="","",COUNTIFS($E$5:$E$204,"&lt;"&amp;$E157)+COUNTIF($E$5:$E157,$E157))</f>
        <v/>
      </c>
    </row>
    <row r="158">
      <c r="A158" s="8" t="n"/>
      <c r="B158" s="8" t="n"/>
      <c r="C158" s="9" t="n"/>
      <c r="D158" s="10" t="n"/>
      <c r="E158" s="11">
        <f>IF($A158="","",IF($D158="","",$D158-IF($G158="",Contracts!$C$3,$G158)))</f>
        <v/>
      </c>
      <c r="F158" s="12">
        <f>IF($E158="","",$E158-TODAY())</f>
        <v/>
      </c>
      <c r="G158" s="6" t="n"/>
      <c r="H158" s="13">
        <f>IF($A158="","",IF($F158="","",IF($F158&lt;0,"MISSED",IF($F158&lt;Contracts!$G$3,"ACT NOW","OK"))))</f>
        <v/>
      </c>
      <c r="I158" s="14">
        <f>IF($B158="","",SUMIFS(Contracts!$C$5:$C$204,Contracts!$B$5:$B$204,$B158))</f>
        <v/>
      </c>
      <c r="J158" s="8" t="n"/>
      <c r="K158" s="8" t="n"/>
      <c r="L158" s="8" t="n"/>
      <c r="M158" s="10" t="n"/>
      <c r="N158" s="14">
        <f>IF($A158="","",SUMIFS(Spend!$E$5:$E$204,Spend!$B$5:$B$204,$A158))</f>
        <v/>
      </c>
      <c r="O158" s="15">
        <f>IF($A158="","",IFERROR($N158/$C158,0))</f>
        <v/>
      </c>
      <c r="P158" s="8" t="n"/>
      <c r="Q158" s="8" t="n"/>
      <c r="R158" s="16">
        <f>IF($E158="","",COUNTIFS($E$5:$E$204,"&lt;"&amp;$E158)+COUNTIF($E$5:$E158,$E158))</f>
        <v/>
      </c>
    </row>
    <row r="159">
      <c r="A159" s="8" t="n"/>
      <c r="B159" s="8" t="n"/>
      <c r="C159" s="9" t="n"/>
      <c r="D159" s="10" t="n"/>
      <c r="E159" s="11">
        <f>IF($A159="","",IF($D159="","",$D159-IF($G159="",Contracts!$C$3,$G159)))</f>
        <v/>
      </c>
      <c r="F159" s="12">
        <f>IF($E159="","",$E159-TODAY())</f>
        <v/>
      </c>
      <c r="G159" s="6" t="n"/>
      <c r="H159" s="13">
        <f>IF($A159="","",IF($F159="","",IF($F159&lt;0,"MISSED",IF($F159&lt;Contracts!$G$3,"ACT NOW","OK"))))</f>
        <v/>
      </c>
      <c r="I159" s="14">
        <f>IF($B159="","",SUMIFS(Contracts!$C$5:$C$204,Contracts!$B$5:$B$204,$B159))</f>
        <v/>
      </c>
      <c r="J159" s="8" t="n"/>
      <c r="K159" s="8" t="n"/>
      <c r="L159" s="8" t="n"/>
      <c r="M159" s="10" t="n"/>
      <c r="N159" s="14">
        <f>IF($A159="","",SUMIFS(Spend!$E$5:$E$204,Spend!$B$5:$B$204,$A159))</f>
        <v/>
      </c>
      <c r="O159" s="15">
        <f>IF($A159="","",IFERROR($N159/$C159,0))</f>
        <v/>
      </c>
      <c r="P159" s="8" t="n"/>
      <c r="Q159" s="8" t="n"/>
      <c r="R159" s="16">
        <f>IF($E159="","",COUNTIFS($E$5:$E$204,"&lt;"&amp;$E159)+COUNTIF($E$5:$E159,$E159))</f>
        <v/>
      </c>
    </row>
    <row r="160">
      <c r="A160" s="8" t="n"/>
      <c r="B160" s="8" t="n"/>
      <c r="C160" s="9" t="n"/>
      <c r="D160" s="10" t="n"/>
      <c r="E160" s="11">
        <f>IF($A160="","",IF($D160="","",$D160-IF($G160="",Contracts!$C$3,$G160)))</f>
        <v/>
      </c>
      <c r="F160" s="12">
        <f>IF($E160="","",$E160-TODAY())</f>
        <v/>
      </c>
      <c r="G160" s="6" t="n"/>
      <c r="H160" s="13">
        <f>IF($A160="","",IF($F160="","",IF($F160&lt;0,"MISSED",IF($F160&lt;Contracts!$G$3,"ACT NOW","OK"))))</f>
        <v/>
      </c>
      <c r="I160" s="14">
        <f>IF($B160="","",SUMIFS(Contracts!$C$5:$C$204,Contracts!$B$5:$B$204,$B160))</f>
        <v/>
      </c>
      <c r="J160" s="8" t="n"/>
      <c r="K160" s="8" t="n"/>
      <c r="L160" s="8" t="n"/>
      <c r="M160" s="10" t="n"/>
      <c r="N160" s="14">
        <f>IF($A160="","",SUMIFS(Spend!$E$5:$E$204,Spend!$B$5:$B$204,$A160))</f>
        <v/>
      </c>
      <c r="O160" s="15">
        <f>IF($A160="","",IFERROR($N160/$C160,0))</f>
        <v/>
      </c>
      <c r="P160" s="8" t="n"/>
      <c r="Q160" s="8" t="n"/>
      <c r="R160" s="16">
        <f>IF($E160="","",COUNTIFS($E$5:$E$204,"&lt;"&amp;$E160)+COUNTIF($E$5:$E160,$E160))</f>
        <v/>
      </c>
    </row>
    <row r="161">
      <c r="A161" s="8" t="n"/>
      <c r="B161" s="8" t="n"/>
      <c r="C161" s="9" t="n"/>
      <c r="D161" s="10" t="n"/>
      <c r="E161" s="11">
        <f>IF($A161="","",IF($D161="","",$D161-IF($G161="",Contracts!$C$3,$G161)))</f>
        <v/>
      </c>
      <c r="F161" s="12">
        <f>IF($E161="","",$E161-TODAY())</f>
        <v/>
      </c>
      <c r="G161" s="6" t="n"/>
      <c r="H161" s="13">
        <f>IF($A161="","",IF($F161="","",IF($F161&lt;0,"MISSED",IF($F161&lt;Contracts!$G$3,"ACT NOW","OK"))))</f>
        <v/>
      </c>
      <c r="I161" s="14">
        <f>IF($B161="","",SUMIFS(Contracts!$C$5:$C$204,Contracts!$B$5:$B$204,$B161))</f>
        <v/>
      </c>
      <c r="J161" s="8" t="n"/>
      <c r="K161" s="8" t="n"/>
      <c r="L161" s="8" t="n"/>
      <c r="M161" s="10" t="n"/>
      <c r="N161" s="14">
        <f>IF($A161="","",SUMIFS(Spend!$E$5:$E$204,Spend!$B$5:$B$204,$A161))</f>
        <v/>
      </c>
      <c r="O161" s="15">
        <f>IF($A161="","",IFERROR($N161/$C161,0))</f>
        <v/>
      </c>
      <c r="P161" s="8" t="n"/>
      <c r="Q161" s="8" t="n"/>
      <c r="R161" s="16">
        <f>IF($E161="","",COUNTIFS($E$5:$E$204,"&lt;"&amp;$E161)+COUNTIF($E$5:$E161,$E161))</f>
        <v/>
      </c>
    </row>
    <row r="162">
      <c r="A162" s="8" t="n"/>
      <c r="B162" s="8" t="n"/>
      <c r="C162" s="9" t="n"/>
      <c r="D162" s="10" t="n"/>
      <c r="E162" s="11">
        <f>IF($A162="","",IF($D162="","",$D162-IF($G162="",Contracts!$C$3,$G162)))</f>
        <v/>
      </c>
      <c r="F162" s="12">
        <f>IF($E162="","",$E162-TODAY())</f>
        <v/>
      </c>
      <c r="G162" s="6" t="n"/>
      <c r="H162" s="13">
        <f>IF($A162="","",IF($F162="","",IF($F162&lt;0,"MISSED",IF($F162&lt;Contracts!$G$3,"ACT NOW","OK"))))</f>
        <v/>
      </c>
      <c r="I162" s="14">
        <f>IF($B162="","",SUMIFS(Contracts!$C$5:$C$204,Contracts!$B$5:$B$204,$B162))</f>
        <v/>
      </c>
      <c r="J162" s="8" t="n"/>
      <c r="K162" s="8" t="n"/>
      <c r="L162" s="8" t="n"/>
      <c r="M162" s="10" t="n"/>
      <c r="N162" s="14">
        <f>IF($A162="","",SUMIFS(Spend!$E$5:$E$204,Spend!$B$5:$B$204,$A162))</f>
        <v/>
      </c>
      <c r="O162" s="15">
        <f>IF($A162="","",IFERROR($N162/$C162,0))</f>
        <v/>
      </c>
      <c r="P162" s="8" t="n"/>
      <c r="Q162" s="8" t="n"/>
      <c r="R162" s="16">
        <f>IF($E162="","",COUNTIFS($E$5:$E$204,"&lt;"&amp;$E162)+COUNTIF($E$5:$E162,$E162))</f>
        <v/>
      </c>
    </row>
    <row r="163">
      <c r="A163" s="8" t="n"/>
      <c r="B163" s="8" t="n"/>
      <c r="C163" s="9" t="n"/>
      <c r="D163" s="10" t="n"/>
      <c r="E163" s="11">
        <f>IF($A163="","",IF($D163="","",$D163-IF($G163="",Contracts!$C$3,$G163)))</f>
        <v/>
      </c>
      <c r="F163" s="12">
        <f>IF($E163="","",$E163-TODAY())</f>
        <v/>
      </c>
      <c r="G163" s="6" t="n"/>
      <c r="H163" s="13">
        <f>IF($A163="","",IF($F163="","",IF($F163&lt;0,"MISSED",IF($F163&lt;Contracts!$G$3,"ACT NOW","OK"))))</f>
        <v/>
      </c>
      <c r="I163" s="14">
        <f>IF($B163="","",SUMIFS(Contracts!$C$5:$C$204,Contracts!$B$5:$B$204,$B163))</f>
        <v/>
      </c>
      <c r="J163" s="8" t="n"/>
      <c r="K163" s="8" t="n"/>
      <c r="L163" s="8" t="n"/>
      <c r="M163" s="10" t="n"/>
      <c r="N163" s="14">
        <f>IF($A163="","",SUMIFS(Spend!$E$5:$E$204,Spend!$B$5:$B$204,$A163))</f>
        <v/>
      </c>
      <c r="O163" s="15">
        <f>IF($A163="","",IFERROR($N163/$C163,0))</f>
        <v/>
      </c>
      <c r="P163" s="8" t="n"/>
      <c r="Q163" s="8" t="n"/>
      <c r="R163" s="16">
        <f>IF($E163="","",COUNTIFS($E$5:$E$204,"&lt;"&amp;$E163)+COUNTIF($E$5:$E163,$E163))</f>
        <v/>
      </c>
    </row>
    <row r="164">
      <c r="A164" s="8" t="n"/>
      <c r="B164" s="8" t="n"/>
      <c r="C164" s="9" t="n"/>
      <c r="D164" s="10" t="n"/>
      <c r="E164" s="11">
        <f>IF($A164="","",IF($D164="","",$D164-IF($G164="",Contracts!$C$3,$G164)))</f>
        <v/>
      </c>
      <c r="F164" s="12">
        <f>IF($E164="","",$E164-TODAY())</f>
        <v/>
      </c>
      <c r="G164" s="6" t="n"/>
      <c r="H164" s="13">
        <f>IF($A164="","",IF($F164="","",IF($F164&lt;0,"MISSED",IF($F164&lt;Contracts!$G$3,"ACT NOW","OK"))))</f>
        <v/>
      </c>
      <c r="I164" s="14">
        <f>IF($B164="","",SUMIFS(Contracts!$C$5:$C$204,Contracts!$B$5:$B$204,$B164))</f>
        <v/>
      </c>
      <c r="J164" s="8" t="n"/>
      <c r="K164" s="8" t="n"/>
      <c r="L164" s="8" t="n"/>
      <c r="M164" s="10" t="n"/>
      <c r="N164" s="14">
        <f>IF($A164="","",SUMIFS(Spend!$E$5:$E$204,Spend!$B$5:$B$204,$A164))</f>
        <v/>
      </c>
      <c r="O164" s="15">
        <f>IF($A164="","",IFERROR($N164/$C164,0))</f>
        <v/>
      </c>
      <c r="P164" s="8" t="n"/>
      <c r="Q164" s="8" t="n"/>
      <c r="R164" s="16">
        <f>IF($E164="","",COUNTIFS($E$5:$E$204,"&lt;"&amp;$E164)+COUNTIF($E$5:$E164,$E164))</f>
        <v/>
      </c>
    </row>
    <row r="165">
      <c r="A165" s="8" t="n"/>
      <c r="B165" s="8" t="n"/>
      <c r="C165" s="9" t="n"/>
      <c r="D165" s="10" t="n"/>
      <c r="E165" s="11">
        <f>IF($A165="","",IF($D165="","",$D165-IF($G165="",Contracts!$C$3,$G165)))</f>
        <v/>
      </c>
      <c r="F165" s="12">
        <f>IF($E165="","",$E165-TODAY())</f>
        <v/>
      </c>
      <c r="G165" s="6" t="n"/>
      <c r="H165" s="13">
        <f>IF($A165="","",IF($F165="","",IF($F165&lt;0,"MISSED",IF($F165&lt;Contracts!$G$3,"ACT NOW","OK"))))</f>
        <v/>
      </c>
      <c r="I165" s="14">
        <f>IF($B165="","",SUMIFS(Contracts!$C$5:$C$204,Contracts!$B$5:$B$204,$B165))</f>
        <v/>
      </c>
      <c r="J165" s="8" t="n"/>
      <c r="K165" s="8" t="n"/>
      <c r="L165" s="8" t="n"/>
      <c r="M165" s="10" t="n"/>
      <c r="N165" s="14">
        <f>IF($A165="","",SUMIFS(Spend!$E$5:$E$204,Spend!$B$5:$B$204,$A165))</f>
        <v/>
      </c>
      <c r="O165" s="15">
        <f>IF($A165="","",IFERROR($N165/$C165,0))</f>
        <v/>
      </c>
      <c r="P165" s="8" t="n"/>
      <c r="Q165" s="8" t="n"/>
      <c r="R165" s="16">
        <f>IF($E165="","",COUNTIFS($E$5:$E$204,"&lt;"&amp;$E165)+COUNTIF($E$5:$E165,$E165))</f>
        <v/>
      </c>
    </row>
    <row r="166">
      <c r="A166" s="8" t="n"/>
      <c r="B166" s="8" t="n"/>
      <c r="C166" s="9" t="n"/>
      <c r="D166" s="10" t="n"/>
      <c r="E166" s="11">
        <f>IF($A166="","",IF($D166="","",$D166-IF($G166="",Contracts!$C$3,$G166)))</f>
        <v/>
      </c>
      <c r="F166" s="12">
        <f>IF($E166="","",$E166-TODAY())</f>
        <v/>
      </c>
      <c r="G166" s="6" t="n"/>
      <c r="H166" s="13">
        <f>IF($A166="","",IF($F166="","",IF($F166&lt;0,"MISSED",IF($F166&lt;Contracts!$G$3,"ACT NOW","OK"))))</f>
        <v/>
      </c>
      <c r="I166" s="14">
        <f>IF($B166="","",SUMIFS(Contracts!$C$5:$C$204,Contracts!$B$5:$B$204,$B166))</f>
        <v/>
      </c>
      <c r="J166" s="8" t="n"/>
      <c r="K166" s="8" t="n"/>
      <c r="L166" s="8" t="n"/>
      <c r="M166" s="10" t="n"/>
      <c r="N166" s="14">
        <f>IF($A166="","",SUMIFS(Spend!$E$5:$E$204,Spend!$B$5:$B$204,$A166))</f>
        <v/>
      </c>
      <c r="O166" s="15">
        <f>IF($A166="","",IFERROR($N166/$C166,0))</f>
        <v/>
      </c>
      <c r="P166" s="8" t="n"/>
      <c r="Q166" s="8" t="n"/>
      <c r="R166" s="16">
        <f>IF($E166="","",COUNTIFS($E$5:$E$204,"&lt;"&amp;$E166)+COUNTIF($E$5:$E166,$E166))</f>
        <v/>
      </c>
    </row>
    <row r="167">
      <c r="A167" s="8" t="n"/>
      <c r="B167" s="8" t="n"/>
      <c r="C167" s="9" t="n"/>
      <c r="D167" s="10" t="n"/>
      <c r="E167" s="11">
        <f>IF($A167="","",IF($D167="","",$D167-IF($G167="",Contracts!$C$3,$G167)))</f>
        <v/>
      </c>
      <c r="F167" s="12">
        <f>IF($E167="","",$E167-TODAY())</f>
        <v/>
      </c>
      <c r="G167" s="6" t="n"/>
      <c r="H167" s="13">
        <f>IF($A167="","",IF($F167="","",IF($F167&lt;0,"MISSED",IF($F167&lt;Contracts!$G$3,"ACT NOW","OK"))))</f>
        <v/>
      </c>
      <c r="I167" s="14">
        <f>IF($B167="","",SUMIFS(Contracts!$C$5:$C$204,Contracts!$B$5:$B$204,$B167))</f>
        <v/>
      </c>
      <c r="J167" s="8" t="n"/>
      <c r="K167" s="8" t="n"/>
      <c r="L167" s="8" t="n"/>
      <c r="M167" s="10" t="n"/>
      <c r="N167" s="14">
        <f>IF($A167="","",SUMIFS(Spend!$E$5:$E$204,Spend!$B$5:$B$204,$A167))</f>
        <v/>
      </c>
      <c r="O167" s="15">
        <f>IF($A167="","",IFERROR($N167/$C167,0))</f>
        <v/>
      </c>
      <c r="P167" s="8" t="n"/>
      <c r="Q167" s="8" t="n"/>
      <c r="R167" s="16">
        <f>IF($E167="","",COUNTIFS($E$5:$E$204,"&lt;"&amp;$E167)+COUNTIF($E$5:$E167,$E167))</f>
        <v/>
      </c>
    </row>
    <row r="168">
      <c r="A168" s="8" t="n"/>
      <c r="B168" s="8" t="n"/>
      <c r="C168" s="9" t="n"/>
      <c r="D168" s="10" t="n"/>
      <c r="E168" s="11">
        <f>IF($A168="","",IF($D168="","",$D168-IF($G168="",Contracts!$C$3,$G168)))</f>
        <v/>
      </c>
      <c r="F168" s="12">
        <f>IF($E168="","",$E168-TODAY())</f>
        <v/>
      </c>
      <c r="G168" s="6" t="n"/>
      <c r="H168" s="13">
        <f>IF($A168="","",IF($F168="","",IF($F168&lt;0,"MISSED",IF($F168&lt;Contracts!$G$3,"ACT NOW","OK"))))</f>
        <v/>
      </c>
      <c r="I168" s="14">
        <f>IF($B168="","",SUMIFS(Contracts!$C$5:$C$204,Contracts!$B$5:$B$204,$B168))</f>
        <v/>
      </c>
      <c r="J168" s="8" t="n"/>
      <c r="K168" s="8" t="n"/>
      <c r="L168" s="8" t="n"/>
      <c r="M168" s="10" t="n"/>
      <c r="N168" s="14">
        <f>IF($A168="","",SUMIFS(Spend!$E$5:$E$204,Spend!$B$5:$B$204,$A168))</f>
        <v/>
      </c>
      <c r="O168" s="15">
        <f>IF($A168="","",IFERROR($N168/$C168,0))</f>
        <v/>
      </c>
      <c r="P168" s="8" t="n"/>
      <c r="Q168" s="8" t="n"/>
      <c r="R168" s="16">
        <f>IF($E168="","",COUNTIFS($E$5:$E$204,"&lt;"&amp;$E168)+COUNTIF($E$5:$E168,$E168))</f>
        <v/>
      </c>
    </row>
    <row r="169">
      <c r="A169" s="8" t="n"/>
      <c r="B169" s="8" t="n"/>
      <c r="C169" s="9" t="n"/>
      <c r="D169" s="10" t="n"/>
      <c r="E169" s="11">
        <f>IF($A169="","",IF($D169="","",$D169-IF($G169="",Contracts!$C$3,$G169)))</f>
        <v/>
      </c>
      <c r="F169" s="12">
        <f>IF($E169="","",$E169-TODAY())</f>
        <v/>
      </c>
      <c r="G169" s="6" t="n"/>
      <c r="H169" s="13">
        <f>IF($A169="","",IF($F169="","",IF($F169&lt;0,"MISSED",IF($F169&lt;Contracts!$G$3,"ACT NOW","OK"))))</f>
        <v/>
      </c>
      <c r="I169" s="14">
        <f>IF($B169="","",SUMIFS(Contracts!$C$5:$C$204,Contracts!$B$5:$B$204,$B169))</f>
        <v/>
      </c>
      <c r="J169" s="8" t="n"/>
      <c r="K169" s="8" t="n"/>
      <c r="L169" s="8" t="n"/>
      <c r="M169" s="10" t="n"/>
      <c r="N169" s="14">
        <f>IF($A169="","",SUMIFS(Spend!$E$5:$E$204,Spend!$B$5:$B$204,$A169))</f>
        <v/>
      </c>
      <c r="O169" s="15">
        <f>IF($A169="","",IFERROR($N169/$C169,0))</f>
        <v/>
      </c>
      <c r="P169" s="8" t="n"/>
      <c r="Q169" s="8" t="n"/>
      <c r="R169" s="16">
        <f>IF($E169="","",COUNTIFS($E$5:$E$204,"&lt;"&amp;$E169)+COUNTIF($E$5:$E169,$E169))</f>
        <v/>
      </c>
    </row>
    <row r="170">
      <c r="A170" s="8" t="n"/>
      <c r="B170" s="8" t="n"/>
      <c r="C170" s="9" t="n"/>
      <c r="D170" s="10" t="n"/>
      <c r="E170" s="11">
        <f>IF($A170="","",IF($D170="","",$D170-IF($G170="",Contracts!$C$3,$G170)))</f>
        <v/>
      </c>
      <c r="F170" s="12">
        <f>IF($E170="","",$E170-TODAY())</f>
        <v/>
      </c>
      <c r="G170" s="6" t="n"/>
      <c r="H170" s="13">
        <f>IF($A170="","",IF($F170="","",IF($F170&lt;0,"MISSED",IF($F170&lt;Contracts!$G$3,"ACT NOW","OK"))))</f>
        <v/>
      </c>
      <c r="I170" s="14">
        <f>IF($B170="","",SUMIFS(Contracts!$C$5:$C$204,Contracts!$B$5:$B$204,$B170))</f>
        <v/>
      </c>
      <c r="J170" s="8" t="n"/>
      <c r="K170" s="8" t="n"/>
      <c r="L170" s="8" t="n"/>
      <c r="M170" s="10" t="n"/>
      <c r="N170" s="14">
        <f>IF($A170="","",SUMIFS(Spend!$E$5:$E$204,Spend!$B$5:$B$204,$A170))</f>
        <v/>
      </c>
      <c r="O170" s="15">
        <f>IF($A170="","",IFERROR($N170/$C170,0))</f>
        <v/>
      </c>
      <c r="P170" s="8" t="n"/>
      <c r="Q170" s="8" t="n"/>
      <c r="R170" s="16">
        <f>IF($E170="","",COUNTIFS($E$5:$E$204,"&lt;"&amp;$E170)+COUNTIF($E$5:$E170,$E170))</f>
        <v/>
      </c>
    </row>
    <row r="171">
      <c r="A171" s="8" t="n"/>
      <c r="B171" s="8" t="n"/>
      <c r="C171" s="9" t="n"/>
      <c r="D171" s="10" t="n"/>
      <c r="E171" s="11">
        <f>IF($A171="","",IF($D171="","",$D171-IF($G171="",Contracts!$C$3,$G171)))</f>
        <v/>
      </c>
      <c r="F171" s="12">
        <f>IF($E171="","",$E171-TODAY())</f>
        <v/>
      </c>
      <c r="G171" s="6" t="n"/>
      <c r="H171" s="13">
        <f>IF($A171="","",IF($F171="","",IF($F171&lt;0,"MISSED",IF($F171&lt;Contracts!$G$3,"ACT NOW","OK"))))</f>
        <v/>
      </c>
      <c r="I171" s="14">
        <f>IF($B171="","",SUMIFS(Contracts!$C$5:$C$204,Contracts!$B$5:$B$204,$B171))</f>
        <v/>
      </c>
      <c r="J171" s="8" t="n"/>
      <c r="K171" s="8" t="n"/>
      <c r="L171" s="8" t="n"/>
      <c r="M171" s="10" t="n"/>
      <c r="N171" s="14">
        <f>IF($A171="","",SUMIFS(Spend!$E$5:$E$204,Spend!$B$5:$B$204,$A171))</f>
        <v/>
      </c>
      <c r="O171" s="15">
        <f>IF($A171="","",IFERROR($N171/$C171,0))</f>
        <v/>
      </c>
      <c r="P171" s="8" t="n"/>
      <c r="Q171" s="8" t="n"/>
      <c r="R171" s="16">
        <f>IF($E171="","",COUNTIFS($E$5:$E$204,"&lt;"&amp;$E171)+COUNTIF($E$5:$E171,$E171))</f>
        <v/>
      </c>
    </row>
    <row r="172">
      <c r="A172" s="8" t="n"/>
      <c r="B172" s="8" t="n"/>
      <c r="C172" s="9" t="n"/>
      <c r="D172" s="10" t="n"/>
      <c r="E172" s="11">
        <f>IF($A172="","",IF($D172="","",$D172-IF($G172="",Contracts!$C$3,$G172)))</f>
        <v/>
      </c>
      <c r="F172" s="12">
        <f>IF($E172="","",$E172-TODAY())</f>
        <v/>
      </c>
      <c r="G172" s="6" t="n"/>
      <c r="H172" s="13">
        <f>IF($A172="","",IF($F172="","",IF($F172&lt;0,"MISSED",IF($F172&lt;Contracts!$G$3,"ACT NOW","OK"))))</f>
        <v/>
      </c>
      <c r="I172" s="14">
        <f>IF($B172="","",SUMIFS(Contracts!$C$5:$C$204,Contracts!$B$5:$B$204,$B172))</f>
        <v/>
      </c>
      <c r="J172" s="8" t="n"/>
      <c r="K172" s="8" t="n"/>
      <c r="L172" s="8" t="n"/>
      <c r="M172" s="10" t="n"/>
      <c r="N172" s="14">
        <f>IF($A172="","",SUMIFS(Spend!$E$5:$E$204,Spend!$B$5:$B$204,$A172))</f>
        <v/>
      </c>
      <c r="O172" s="15">
        <f>IF($A172="","",IFERROR($N172/$C172,0))</f>
        <v/>
      </c>
      <c r="P172" s="8" t="n"/>
      <c r="Q172" s="8" t="n"/>
      <c r="R172" s="16">
        <f>IF($E172="","",COUNTIFS($E$5:$E$204,"&lt;"&amp;$E172)+COUNTIF($E$5:$E172,$E172))</f>
        <v/>
      </c>
    </row>
    <row r="173">
      <c r="A173" s="8" t="n"/>
      <c r="B173" s="8" t="n"/>
      <c r="C173" s="9" t="n"/>
      <c r="D173" s="10" t="n"/>
      <c r="E173" s="11">
        <f>IF($A173="","",IF($D173="","",$D173-IF($G173="",Contracts!$C$3,$G173)))</f>
        <v/>
      </c>
      <c r="F173" s="12">
        <f>IF($E173="","",$E173-TODAY())</f>
        <v/>
      </c>
      <c r="G173" s="6" t="n"/>
      <c r="H173" s="13">
        <f>IF($A173="","",IF($F173="","",IF($F173&lt;0,"MISSED",IF($F173&lt;Contracts!$G$3,"ACT NOW","OK"))))</f>
        <v/>
      </c>
      <c r="I173" s="14">
        <f>IF($B173="","",SUMIFS(Contracts!$C$5:$C$204,Contracts!$B$5:$B$204,$B173))</f>
        <v/>
      </c>
      <c r="J173" s="8" t="n"/>
      <c r="K173" s="8" t="n"/>
      <c r="L173" s="8" t="n"/>
      <c r="M173" s="10" t="n"/>
      <c r="N173" s="14">
        <f>IF($A173="","",SUMIFS(Spend!$E$5:$E$204,Spend!$B$5:$B$204,$A173))</f>
        <v/>
      </c>
      <c r="O173" s="15">
        <f>IF($A173="","",IFERROR($N173/$C173,0))</f>
        <v/>
      </c>
      <c r="P173" s="8" t="n"/>
      <c r="Q173" s="8" t="n"/>
      <c r="R173" s="16">
        <f>IF($E173="","",COUNTIFS($E$5:$E$204,"&lt;"&amp;$E173)+COUNTIF($E$5:$E173,$E173))</f>
        <v/>
      </c>
    </row>
    <row r="174">
      <c r="A174" s="8" t="n"/>
      <c r="B174" s="8" t="n"/>
      <c r="C174" s="9" t="n"/>
      <c r="D174" s="10" t="n"/>
      <c r="E174" s="11">
        <f>IF($A174="","",IF($D174="","",$D174-IF($G174="",Contracts!$C$3,$G174)))</f>
        <v/>
      </c>
      <c r="F174" s="12">
        <f>IF($E174="","",$E174-TODAY())</f>
        <v/>
      </c>
      <c r="G174" s="6" t="n"/>
      <c r="H174" s="13">
        <f>IF($A174="","",IF($F174="","",IF($F174&lt;0,"MISSED",IF($F174&lt;Contracts!$G$3,"ACT NOW","OK"))))</f>
        <v/>
      </c>
      <c r="I174" s="14">
        <f>IF($B174="","",SUMIFS(Contracts!$C$5:$C$204,Contracts!$B$5:$B$204,$B174))</f>
        <v/>
      </c>
      <c r="J174" s="8" t="n"/>
      <c r="K174" s="8" t="n"/>
      <c r="L174" s="8" t="n"/>
      <c r="M174" s="10" t="n"/>
      <c r="N174" s="14">
        <f>IF($A174="","",SUMIFS(Spend!$E$5:$E$204,Spend!$B$5:$B$204,$A174))</f>
        <v/>
      </c>
      <c r="O174" s="15">
        <f>IF($A174="","",IFERROR($N174/$C174,0))</f>
        <v/>
      </c>
      <c r="P174" s="8" t="n"/>
      <c r="Q174" s="8" t="n"/>
      <c r="R174" s="16">
        <f>IF($E174="","",COUNTIFS($E$5:$E$204,"&lt;"&amp;$E174)+COUNTIF($E$5:$E174,$E174))</f>
        <v/>
      </c>
    </row>
    <row r="175">
      <c r="A175" s="8" t="n"/>
      <c r="B175" s="8" t="n"/>
      <c r="C175" s="9" t="n"/>
      <c r="D175" s="10" t="n"/>
      <c r="E175" s="11">
        <f>IF($A175="","",IF($D175="","",$D175-IF($G175="",Contracts!$C$3,$G175)))</f>
        <v/>
      </c>
      <c r="F175" s="12">
        <f>IF($E175="","",$E175-TODAY())</f>
        <v/>
      </c>
      <c r="G175" s="6" t="n"/>
      <c r="H175" s="13">
        <f>IF($A175="","",IF($F175="","",IF($F175&lt;0,"MISSED",IF($F175&lt;Contracts!$G$3,"ACT NOW","OK"))))</f>
        <v/>
      </c>
      <c r="I175" s="14">
        <f>IF($B175="","",SUMIFS(Contracts!$C$5:$C$204,Contracts!$B$5:$B$204,$B175))</f>
        <v/>
      </c>
      <c r="J175" s="8" t="n"/>
      <c r="K175" s="8" t="n"/>
      <c r="L175" s="8" t="n"/>
      <c r="M175" s="10" t="n"/>
      <c r="N175" s="14">
        <f>IF($A175="","",SUMIFS(Spend!$E$5:$E$204,Spend!$B$5:$B$204,$A175))</f>
        <v/>
      </c>
      <c r="O175" s="15">
        <f>IF($A175="","",IFERROR($N175/$C175,0))</f>
        <v/>
      </c>
      <c r="P175" s="8" t="n"/>
      <c r="Q175" s="8" t="n"/>
      <c r="R175" s="16">
        <f>IF($E175="","",COUNTIFS($E$5:$E$204,"&lt;"&amp;$E175)+COUNTIF($E$5:$E175,$E175))</f>
        <v/>
      </c>
    </row>
    <row r="176">
      <c r="A176" s="8" t="n"/>
      <c r="B176" s="8" t="n"/>
      <c r="C176" s="9" t="n"/>
      <c r="D176" s="10" t="n"/>
      <c r="E176" s="11">
        <f>IF($A176="","",IF($D176="","",$D176-IF($G176="",Contracts!$C$3,$G176)))</f>
        <v/>
      </c>
      <c r="F176" s="12">
        <f>IF($E176="","",$E176-TODAY())</f>
        <v/>
      </c>
      <c r="G176" s="6" t="n"/>
      <c r="H176" s="13">
        <f>IF($A176="","",IF($F176="","",IF($F176&lt;0,"MISSED",IF($F176&lt;Contracts!$G$3,"ACT NOW","OK"))))</f>
        <v/>
      </c>
      <c r="I176" s="14">
        <f>IF($B176="","",SUMIFS(Contracts!$C$5:$C$204,Contracts!$B$5:$B$204,$B176))</f>
        <v/>
      </c>
      <c r="J176" s="8" t="n"/>
      <c r="K176" s="8" t="n"/>
      <c r="L176" s="8" t="n"/>
      <c r="M176" s="10" t="n"/>
      <c r="N176" s="14">
        <f>IF($A176="","",SUMIFS(Spend!$E$5:$E$204,Spend!$B$5:$B$204,$A176))</f>
        <v/>
      </c>
      <c r="O176" s="15">
        <f>IF($A176="","",IFERROR($N176/$C176,0))</f>
        <v/>
      </c>
      <c r="P176" s="8" t="n"/>
      <c r="Q176" s="8" t="n"/>
      <c r="R176" s="16">
        <f>IF($E176="","",COUNTIFS($E$5:$E$204,"&lt;"&amp;$E176)+COUNTIF($E$5:$E176,$E176))</f>
        <v/>
      </c>
    </row>
    <row r="177">
      <c r="A177" s="8" t="n"/>
      <c r="B177" s="8" t="n"/>
      <c r="C177" s="9" t="n"/>
      <c r="D177" s="10" t="n"/>
      <c r="E177" s="11">
        <f>IF($A177="","",IF($D177="","",$D177-IF($G177="",Contracts!$C$3,$G177)))</f>
        <v/>
      </c>
      <c r="F177" s="12">
        <f>IF($E177="","",$E177-TODAY())</f>
        <v/>
      </c>
      <c r="G177" s="6" t="n"/>
      <c r="H177" s="13">
        <f>IF($A177="","",IF($F177="","",IF($F177&lt;0,"MISSED",IF($F177&lt;Contracts!$G$3,"ACT NOW","OK"))))</f>
        <v/>
      </c>
      <c r="I177" s="14">
        <f>IF($B177="","",SUMIFS(Contracts!$C$5:$C$204,Contracts!$B$5:$B$204,$B177))</f>
        <v/>
      </c>
      <c r="J177" s="8" t="n"/>
      <c r="K177" s="8" t="n"/>
      <c r="L177" s="8" t="n"/>
      <c r="M177" s="10" t="n"/>
      <c r="N177" s="14">
        <f>IF($A177="","",SUMIFS(Spend!$E$5:$E$204,Spend!$B$5:$B$204,$A177))</f>
        <v/>
      </c>
      <c r="O177" s="15">
        <f>IF($A177="","",IFERROR($N177/$C177,0))</f>
        <v/>
      </c>
      <c r="P177" s="8" t="n"/>
      <c r="Q177" s="8" t="n"/>
      <c r="R177" s="16">
        <f>IF($E177="","",COUNTIFS($E$5:$E$204,"&lt;"&amp;$E177)+COUNTIF($E$5:$E177,$E177))</f>
        <v/>
      </c>
    </row>
    <row r="178">
      <c r="A178" s="8" t="n"/>
      <c r="B178" s="8" t="n"/>
      <c r="C178" s="9" t="n"/>
      <c r="D178" s="10" t="n"/>
      <c r="E178" s="11">
        <f>IF($A178="","",IF($D178="","",$D178-IF($G178="",Contracts!$C$3,$G178)))</f>
        <v/>
      </c>
      <c r="F178" s="12">
        <f>IF($E178="","",$E178-TODAY())</f>
        <v/>
      </c>
      <c r="G178" s="6" t="n"/>
      <c r="H178" s="13">
        <f>IF($A178="","",IF($F178="","",IF($F178&lt;0,"MISSED",IF($F178&lt;Contracts!$G$3,"ACT NOW","OK"))))</f>
        <v/>
      </c>
      <c r="I178" s="14">
        <f>IF($B178="","",SUMIFS(Contracts!$C$5:$C$204,Contracts!$B$5:$B$204,$B178))</f>
        <v/>
      </c>
      <c r="J178" s="8" t="n"/>
      <c r="K178" s="8" t="n"/>
      <c r="L178" s="8" t="n"/>
      <c r="M178" s="10" t="n"/>
      <c r="N178" s="14">
        <f>IF($A178="","",SUMIFS(Spend!$E$5:$E$204,Spend!$B$5:$B$204,$A178))</f>
        <v/>
      </c>
      <c r="O178" s="15">
        <f>IF($A178="","",IFERROR($N178/$C178,0))</f>
        <v/>
      </c>
      <c r="P178" s="8" t="n"/>
      <c r="Q178" s="8" t="n"/>
      <c r="R178" s="16">
        <f>IF($E178="","",COUNTIFS($E$5:$E$204,"&lt;"&amp;$E178)+COUNTIF($E$5:$E178,$E178))</f>
        <v/>
      </c>
    </row>
    <row r="179">
      <c r="A179" s="8" t="n"/>
      <c r="B179" s="8" t="n"/>
      <c r="C179" s="9" t="n"/>
      <c r="D179" s="10" t="n"/>
      <c r="E179" s="11">
        <f>IF($A179="","",IF($D179="","",$D179-IF($G179="",Contracts!$C$3,$G179)))</f>
        <v/>
      </c>
      <c r="F179" s="12">
        <f>IF($E179="","",$E179-TODAY())</f>
        <v/>
      </c>
      <c r="G179" s="6" t="n"/>
      <c r="H179" s="13">
        <f>IF($A179="","",IF($F179="","",IF($F179&lt;0,"MISSED",IF($F179&lt;Contracts!$G$3,"ACT NOW","OK"))))</f>
        <v/>
      </c>
      <c r="I179" s="14">
        <f>IF($B179="","",SUMIFS(Contracts!$C$5:$C$204,Contracts!$B$5:$B$204,$B179))</f>
        <v/>
      </c>
      <c r="J179" s="8" t="n"/>
      <c r="K179" s="8" t="n"/>
      <c r="L179" s="8" t="n"/>
      <c r="M179" s="10" t="n"/>
      <c r="N179" s="14">
        <f>IF($A179="","",SUMIFS(Spend!$E$5:$E$204,Spend!$B$5:$B$204,$A179))</f>
        <v/>
      </c>
      <c r="O179" s="15">
        <f>IF($A179="","",IFERROR($N179/$C179,0))</f>
        <v/>
      </c>
      <c r="P179" s="8" t="n"/>
      <c r="Q179" s="8" t="n"/>
      <c r="R179" s="16">
        <f>IF($E179="","",COUNTIFS($E$5:$E$204,"&lt;"&amp;$E179)+COUNTIF($E$5:$E179,$E179))</f>
        <v/>
      </c>
    </row>
    <row r="180">
      <c r="A180" s="8" t="n"/>
      <c r="B180" s="8" t="n"/>
      <c r="C180" s="9" t="n"/>
      <c r="D180" s="10" t="n"/>
      <c r="E180" s="11">
        <f>IF($A180="","",IF($D180="","",$D180-IF($G180="",Contracts!$C$3,$G180)))</f>
        <v/>
      </c>
      <c r="F180" s="12">
        <f>IF($E180="","",$E180-TODAY())</f>
        <v/>
      </c>
      <c r="G180" s="6" t="n"/>
      <c r="H180" s="13">
        <f>IF($A180="","",IF($F180="","",IF($F180&lt;0,"MISSED",IF($F180&lt;Contracts!$G$3,"ACT NOW","OK"))))</f>
        <v/>
      </c>
      <c r="I180" s="14">
        <f>IF($B180="","",SUMIFS(Contracts!$C$5:$C$204,Contracts!$B$5:$B$204,$B180))</f>
        <v/>
      </c>
      <c r="J180" s="8" t="n"/>
      <c r="K180" s="8" t="n"/>
      <c r="L180" s="8" t="n"/>
      <c r="M180" s="10" t="n"/>
      <c r="N180" s="14">
        <f>IF($A180="","",SUMIFS(Spend!$E$5:$E$204,Spend!$B$5:$B$204,$A180))</f>
        <v/>
      </c>
      <c r="O180" s="15">
        <f>IF($A180="","",IFERROR($N180/$C180,0))</f>
        <v/>
      </c>
      <c r="P180" s="8" t="n"/>
      <c r="Q180" s="8" t="n"/>
      <c r="R180" s="16">
        <f>IF($E180="","",COUNTIFS($E$5:$E$204,"&lt;"&amp;$E180)+COUNTIF($E$5:$E180,$E180))</f>
        <v/>
      </c>
    </row>
    <row r="181">
      <c r="A181" s="8" t="n"/>
      <c r="B181" s="8" t="n"/>
      <c r="C181" s="9" t="n"/>
      <c r="D181" s="10" t="n"/>
      <c r="E181" s="11">
        <f>IF($A181="","",IF($D181="","",$D181-IF($G181="",Contracts!$C$3,$G181)))</f>
        <v/>
      </c>
      <c r="F181" s="12">
        <f>IF($E181="","",$E181-TODAY())</f>
        <v/>
      </c>
      <c r="G181" s="6" t="n"/>
      <c r="H181" s="13">
        <f>IF($A181="","",IF($F181="","",IF($F181&lt;0,"MISSED",IF($F181&lt;Contracts!$G$3,"ACT NOW","OK"))))</f>
        <v/>
      </c>
      <c r="I181" s="14">
        <f>IF($B181="","",SUMIFS(Contracts!$C$5:$C$204,Contracts!$B$5:$B$204,$B181))</f>
        <v/>
      </c>
      <c r="J181" s="8" t="n"/>
      <c r="K181" s="8" t="n"/>
      <c r="L181" s="8" t="n"/>
      <c r="M181" s="10" t="n"/>
      <c r="N181" s="14">
        <f>IF($A181="","",SUMIFS(Spend!$E$5:$E$204,Spend!$B$5:$B$204,$A181))</f>
        <v/>
      </c>
      <c r="O181" s="15">
        <f>IF($A181="","",IFERROR($N181/$C181,0))</f>
        <v/>
      </c>
      <c r="P181" s="8" t="n"/>
      <c r="Q181" s="8" t="n"/>
      <c r="R181" s="16">
        <f>IF($E181="","",COUNTIFS($E$5:$E$204,"&lt;"&amp;$E181)+COUNTIF($E$5:$E181,$E181))</f>
        <v/>
      </c>
    </row>
    <row r="182">
      <c r="A182" s="8" t="n"/>
      <c r="B182" s="8" t="n"/>
      <c r="C182" s="9" t="n"/>
      <c r="D182" s="10" t="n"/>
      <c r="E182" s="11">
        <f>IF($A182="","",IF($D182="","",$D182-IF($G182="",Contracts!$C$3,$G182)))</f>
        <v/>
      </c>
      <c r="F182" s="12">
        <f>IF($E182="","",$E182-TODAY())</f>
        <v/>
      </c>
      <c r="G182" s="6" t="n"/>
      <c r="H182" s="13">
        <f>IF($A182="","",IF($F182="","",IF($F182&lt;0,"MISSED",IF($F182&lt;Contracts!$G$3,"ACT NOW","OK"))))</f>
        <v/>
      </c>
      <c r="I182" s="14">
        <f>IF($B182="","",SUMIFS(Contracts!$C$5:$C$204,Contracts!$B$5:$B$204,$B182))</f>
        <v/>
      </c>
      <c r="J182" s="8" t="n"/>
      <c r="K182" s="8" t="n"/>
      <c r="L182" s="8" t="n"/>
      <c r="M182" s="10" t="n"/>
      <c r="N182" s="14">
        <f>IF($A182="","",SUMIFS(Spend!$E$5:$E$204,Spend!$B$5:$B$204,$A182))</f>
        <v/>
      </c>
      <c r="O182" s="15">
        <f>IF($A182="","",IFERROR($N182/$C182,0))</f>
        <v/>
      </c>
      <c r="P182" s="8" t="n"/>
      <c r="Q182" s="8" t="n"/>
      <c r="R182" s="16">
        <f>IF($E182="","",COUNTIFS($E$5:$E$204,"&lt;"&amp;$E182)+COUNTIF($E$5:$E182,$E182))</f>
        <v/>
      </c>
    </row>
    <row r="183">
      <c r="A183" s="8" t="n"/>
      <c r="B183" s="8" t="n"/>
      <c r="C183" s="9" t="n"/>
      <c r="D183" s="10" t="n"/>
      <c r="E183" s="11">
        <f>IF($A183="","",IF($D183="","",$D183-IF($G183="",Contracts!$C$3,$G183)))</f>
        <v/>
      </c>
      <c r="F183" s="12">
        <f>IF($E183="","",$E183-TODAY())</f>
        <v/>
      </c>
      <c r="G183" s="6" t="n"/>
      <c r="H183" s="13">
        <f>IF($A183="","",IF($F183="","",IF($F183&lt;0,"MISSED",IF($F183&lt;Contracts!$G$3,"ACT NOW","OK"))))</f>
        <v/>
      </c>
      <c r="I183" s="14">
        <f>IF($B183="","",SUMIFS(Contracts!$C$5:$C$204,Contracts!$B$5:$B$204,$B183))</f>
        <v/>
      </c>
      <c r="J183" s="8" t="n"/>
      <c r="K183" s="8" t="n"/>
      <c r="L183" s="8" t="n"/>
      <c r="M183" s="10" t="n"/>
      <c r="N183" s="14">
        <f>IF($A183="","",SUMIFS(Spend!$E$5:$E$204,Spend!$B$5:$B$204,$A183))</f>
        <v/>
      </c>
      <c r="O183" s="15">
        <f>IF($A183="","",IFERROR($N183/$C183,0))</f>
        <v/>
      </c>
      <c r="P183" s="8" t="n"/>
      <c r="Q183" s="8" t="n"/>
      <c r="R183" s="16">
        <f>IF($E183="","",COUNTIFS($E$5:$E$204,"&lt;"&amp;$E183)+COUNTIF($E$5:$E183,$E183))</f>
        <v/>
      </c>
    </row>
    <row r="184">
      <c r="A184" s="8" t="n"/>
      <c r="B184" s="8" t="n"/>
      <c r="C184" s="9" t="n"/>
      <c r="D184" s="10" t="n"/>
      <c r="E184" s="11">
        <f>IF($A184="","",IF($D184="","",$D184-IF($G184="",Contracts!$C$3,$G184)))</f>
        <v/>
      </c>
      <c r="F184" s="12">
        <f>IF($E184="","",$E184-TODAY())</f>
        <v/>
      </c>
      <c r="G184" s="6" t="n"/>
      <c r="H184" s="13">
        <f>IF($A184="","",IF($F184="","",IF($F184&lt;0,"MISSED",IF($F184&lt;Contracts!$G$3,"ACT NOW","OK"))))</f>
        <v/>
      </c>
      <c r="I184" s="14">
        <f>IF($B184="","",SUMIFS(Contracts!$C$5:$C$204,Contracts!$B$5:$B$204,$B184))</f>
        <v/>
      </c>
      <c r="J184" s="8" t="n"/>
      <c r="K184" s="8" t="n"/>
      <c r="L184" s="8" t="n"/>
      <c r="M184" s="10" t="n"/>
      <c r="N184" s="14">
        <f>IF($A184="","",SUMIFS(Spend!$E$5:$E$204,Spend!$B$5:$B$204,$A184))</f>
        <v/>
      </c>
      <c r="O184" s="15">
        <f>IF($A184="","",IFERROR($N184/$C184,0))</f>
        <v/>
      </c>
      <c r="P184" s="8" t="n"/>
      <c r="Q184" s="8" t="n"/>
      <c r="R184" s="16">
        <f>IF($E184="","",COUNTIFS($E$5:$E$204,"&lt;"&amp;$E184)+COUNTIF($E$5:$E184,$E184))</f>
        <v/>
      </c>
    </row>
    <row r="185">
      <c r="A185" s="8" t="n"/>
      <c r="B185" s="8" t="n"/>
      <c r="C185" s="9" t="n"/>
      <c r="D185" s="10" t="n"/>
      <c r="E185" s="11">
        <f>IF($A185="","",IF($D185="","",$D185-IF($G185="",Contracts!$C$3,$G185)))</f>
        <v/>
      </c>
      <c r="F185" s="12">
        <f>IF($E185="","",$E185-TODAY())</f>
        <v/>
      </c>
      <c r="G185" s="6" t="n"/>
      <c r="H185" s="13">
        <f>IF($A185="","",IF($F185="","",IF($F185&lt;0,"MISSED",IF($F185&lt;Contracts!$G$3,"ACT NOW","OK"))))</f>
        <v/>
      </c>
      <c r="I185" s="14">
        <f>IF($B185="","",SUMIFS(Contracts!$C$5:$C$204,Contracts!$B$5:$B$204,$B185))</f>
        <v/>
      </c>
      <c r="J185" s="8" t="n"/>
      <c r="K185" s="8" t="n"/>
      <c r="L185" s="8" t="n"/>
      <c r="M185" s="10" t="n"/>
      <c r="N185" s="14">
        <f>IF($A185="","",SUMIFS(Spend!$E$5:$E$204,Spend!$B$5:$B$204,$A185))</f>
        <v/>
      </c>
      <c r="O185" s="15">
        <f>IF($A185="","",IFERROR($N185/$C185,0))</f>
        <v/>
      </c>
      <c r="P185" s="8" t="n"/>
      <c r="Q185" s="8" t="n"/>
      <c r="R185" s="16">
        <f>IF($E185="","",COUNTIFS($E$5:$E$204,"&lt;"&amp;$E185)+COUNTIF($E$5:$E185,$E185))</f>
        <v/>
      </c>
    </row>
    <row r="186">
      <c r="A186" s="8" t="n"/>
      <c r="B186" s="8" t="n"/>
      <c r="C186" s="9" t="n"/>
      <c r="D186" s="10" t="n"/>
      <c r="E186" s="11">
        <f>IF($A186="","",IF($D186="","",$D186-IF($G186="",Contracts!$C$3,$G186)))</f>
        <v/>
      </c>
      <c r="F186" s="12">
        <f>IF($E186="","",$E186-TODAY())</f>
        <v/>
      </c>
      <c r="G186" s="6" t="n"/>
      <c r="H186" s="13">
        <f>IF($A186="","",IF($F186="","",IF($F186&lt;0,"MISSED",IF($F186&lt;Contracts!$G$3,"ACT NOW","OK"))))</f>
        <v/>
      </c>
      <c r="I186" s="14">
        <f>IF($B186="","",SUMIFS(Contracts!$C$5:$C$204,Contracts!$B$5:$B$204,$B186))</f>
        <v/>
      </c>
      <c r="J186" s="8" t="n"/>
      <c r="K186" s="8" t="n"/>
      <c r="L186" s="8" t="n"/>
      <c r="M186" s="10" t="n"/>
      <c r="N186" s="14">
        <f>IF($A186="","",SUMIFS(Spend!$E$5:$E$204,Spend!$B$5:$B$204,$A186))</f>
        <v/>
      </c>
      <c r="O186" s="15">
        <f>IF($A186="","",IFERROR($N186/$C186,0))</f>
        <v/>
      </c>
      <c r="P186" s="8" t="n"/>
      <c r="Q186" s="8" t="n"/>
      <c r="R186" s="16">
        <f>IF($E186="","",COUNTIFS($E$5:$E$204,"&lt;"&amp;$E186)+COUNTIF($E$5:$E186,$E186))</f>
        <v/>
      </c>
    </row>
    <row r="187">
      <c r="A187" s="8" t="n"/>
      <c r="B187" s="8" t="n"/>
      <c r="C187" s="9" t="n"/>
      <c r="D187" s="10" t="n"/>
      <c r="E187" s="11">
        <f>IF($A187="","",IF($D187="","",$D187-IF($G187="",Contracts!$C$3,$G187)))</f>
        <v/>
      </c>
      <c r="F187" s="12">
        <f>IF($E187="","",$E187-TODAY())</f>
        <v/>
      </c>
      <c r="G187" s="6" t="n"/>
      <c r="H187" s="13">
        <f>IF($A187="","",IF($F187="","",IF($F187&lt;0,"MISSED",IF($F187&lt;Contracts!$G$3,"ACT NOW","OK"))))</f>
        <v/>
      </c>
      <c r="I187" s="14">
        <f>IF($B187="","",SUMIFS(Contracts!$C$5:$C$204,Contracts!$B$5:$B$204,$B187))</f>
        <v/>
      </c>
      <c r="J187" s="8" t="n"/>
      <c r="K187" s="8" t="n"/>
      <c r="L187" s="8" t="n"/>
      <c r="M187" s="10" t="n"/>
      <c r="N187" s="14">
        <f>IF($A187="","",SUMIFS(Spend!$E$5:$E$204,Spend!$B$5:$B$204,$A187))</f>
        <v/>
      </c>
      <c r="O187" s="15">
        <f>IF($A187="","",IFERROR($N187/$C187,0))</f>
        <v/>
      </c>
      <c r="P187" s="8" t="n"/>
      <c r="Q187" s="8" t="n"/>
      <c r="R187" s="16">
        <f>IF($E187="","",COUNTIFS($E$5:$E$204,"&lt;"&amp;$E187)+COUNTIF($E$5:$E187,$E187))</f>
        <v/>
      </c>
    </row>
    <row r="188">
      <c r="A188" s="8" t="n"/>
      <c r="B188" s="8" t="n"/>
      <c r="C188" s="9" t="n"/>
      <c r="D188" s="10" t="n"/>
      <c r="E188" s="11">
        <f>IF($A188="","",IF($D188="","",$D188-IF($G188="",Contracts!$C$3,$G188)))</f>
        <v/>
      </c>
      <c r="F188" s="12">
        <f>IF($E188="","",$E188-TODAY())</f>
        <v/>
      </c>
      <c r="G188" s="6" t="n"/>
      <c r="H188" s="13">
        <f>IF($A188="","",IF($F188="","",IF($F188&lt;0,"MISSED",IF($F188&lt;Contracts!$G$3,"ACT NOW","OK"))))</f>
        <v/>
      </c>
      <c r="I188" s="14">
        <f>IF($B188="","",SUMIFS(Contracts!$C$5:$C$204,Contracts!$B$5:$B$204,$B188))</f>
        <v/>
      </c>
      <c r="J188" s="8" t="n"/>
      <c r="K188" s="8" t="n"/>
      <c r="L188" s="8" t="n"/>
      <c r="M188" s="10" t="n"/>
      <c r="N188" s="14">
        <f>IF($A188="","",SUMIFS(Spend!$E$5:$E$204,Spend!$B$5:$B$204,$A188))</f>
        <v/>
      </c>
      <c r="O188" s="15">
        <f>IF($A188="","",IFERROR($N188/$C188,0))</f>
        <v/>
      </c>
      <c r="P188" s="8" t="n"/>
      <c r="Q188" s="8" t="n"/>
      <c r="R188" s="16">
        <f>IF($E188="","",COUNTIFS($E$5:$E$204,"&lt;"&amp;$E188)+COUNTIF($E$5:$E188,$E188))</f>
        <v/>
      </c>
    </row>
    <row r="189">
      <c r="A189" s="8" t="n"/>
      <c r="B189" s="8" t="n"/>
      <c r="C189" s="9" t="n"/>
      <c r="D189" s="10" t="n"/>
      <c r="E189" s="11">
        <f>IF($A189="","",IF($D189="","",$D189-IF($G189="",Contracts!$C$3,$G189)))</f>
        <v/>
      </c>
      <c r="F189" s="12">
        <f>IF($E189="","",$E189-TODAY())</f>
        <v/>
      </c>
      <c r="G189" s="6" t="n"/>
      <c r="H189" s="13">
        <f>IF($A189="","",IF($F189="","",IF($F189&lt;0,"MISSED",IF($F189&lt;Contracts!$G$3,"ACT NOW","OK"))))</f>
        <v/>
      </c>
      <c r="I189" s="14">
        <f>IF($B189="","",SUMIFS(Contracts!$C$5:$C$204,Contracts!$B$5:$B$204,$B189))</f>
        <v/>
      </c>
      <c r="J189" s="8" t="n"/>
      <c r="K189" s="8" t="n"/>
      <c r="L189" s="8" t="n"/>
      <c r="M189" s="10" t="n"/>
      <c r="N189" s="14">
        <f>IF($A189="","",SUMIFS(Spend!$E$5:$E$204,Spend!$B$5:$B$204,$A189))</f>
        <v/>
      </c>
      <c r="O189" s="15">
        <f>IF($A189="","",IFERROR($N189/$C189,0))</f>
        <v/>
      </c>
      <c r="P189" s="8" t="n"/>
      <c r="Q189" s="8" t="n"/>
      <c r="R189" s="16">
        <f>IF($E189="","",COUNTIFS($E$5:$E$204,"&lt;"&amp;$E189)+COUNTIF($E$5:$E189,$E189))</f>
        <v/>
      </c>
    </row>
    <row r="190">
      <c r="A190" s="8" t="n"/>
      <c r="B190" s="8" t="n"/>
      <c r="C190" s="9" t="n"/>
      <c r="D190" s="10" t="n"/>
      <c r="E190" s="11">
        <f>IF($A190="","",IF($D190="","",$D190-IF($G190="",Contracts!$C$3,$G190)))</f>
        <v/>
      </c>
      <c r="F190" s="12">
        <f>IF($E190="","",$E190-TODAY())</f>
        <v/>
      </c>
      <c r="G190" s="6" t="n"/>
      <c r="H190" s="13">
        <f>IF($A190="","",IF($F190="","",IF($F190&lt;0,"MISSED",IF($F190&lt;Contracts!$G$3,"ACT NOW","OK"))))</f>
        <v/>
      </c>
      <c r="I190" s="14">
        <f>IF($B190="","",SUMIFS(Contracts!$C$5:$C$204,Contracts!$B$5:$B$204,$B190))</f>
        <v/>
      </c>
      <c r="J190" s="8" t="n"/>
      <c r="K190" s="8" t="n"/>
      <c r="L190" s="8" t="n"/>
      <c r="M190" s="10" t="n"/>
      <c r="N190" s="14">
        <f>IF($A190="","",SUMIFS(Spend!$E$5:$E$204,Spend!$B$5:$B$204,$A190))</f>
        <v/>
      </c>
      <c r="O190" s="15">
        <f>IF($A190="","",IFERROR($N190/$C190,0))</f>
        <v/>
      </c>
      <c r="P190" s="8" t="n"/>
      <c r="Q190" s="8" t="n"/>
      <c r="R190" s="16">
        <f>IF($E190="","",COUNTIFS($E$5:$E$204,"&lt;"&amp;$E190)+COUNTIF($E$5:$E190,$E190))</f>
        <v/>
      </c>
    </row>
    <row r="191">
      <c r="A191" s="8" t="n"/>
      <c r="B191" s="8" t="n"/>
      <c r="C191" s="9" t="n"/>
      <c r="D191" s="10" t="n"/>
      <c r="E191" s="11">
        <f>IF($A191="","",IF($D191="","",$D191-IF($G191="",Contracts!$C$3,$G191)))</f>
        <v/>
      </c>
      <c r="F191" s="12">
        <f>IF($E191="","",$E191-TODAY())</f>
        <v/>
      </c>
      <c r="G191" s="6" t="n"/>
      <c r="H191" s="13">
        <f>IF($A191="","",IF($F191="","",IF($F191&lt;0,"MISSED",IF($F191&lt;Contracts!$G$3,"ACT NOW","OK"))))</f>
        <v/>
      </c>
      <c r="I191" s="14">
        <f>IF($B191="","",SUMIFS(Contracts!$C$5:$C$204,Contracts!$B$5:$B$204,$B191))</f>
        <v/>
      </c>
      <c r="J191" s="8" t="n"/>
      <c r="K191" s="8" t="n"/>
      <c r="L191" s="8" t="n"/>
      <c r="M191" s="10" t="n"/>
      <c r="N191" s="14">
        <f>IF($A191="","",SUMIFS(Spend!$E$5:$E$204,Spend!$B$5:$B$204,$A191))</f>
        <v/>
      </c>
      <c r="O191" s="15">
        <f>IF($A191="","",IFERROR($N191/$C191,0))</f>
        <v/>
      </c>
      <c r="P191" s="8" t="n"/>
      <c r="Q191" s="8" t="n"/>
      <c r="R191" s="16">
        <f>IF($E191="","",COUNTIFS($E$5:$E$204,"&lt;"&amp;$E191)+COUNTIF($E$5:$E191,$E191))</f>
        <v/>
      </c>
    </row>
    <row r="192">
      <c r="A192" s="8" t="n"/>
      <c r="B192" s="8" t="n"/>
      <c r="C192" s="9" t="n"/>
      <c r="D192" s="10" t="n"/>
      <c r="E192" s="11">
        <f>IF($A192="","",IF($D192="","",$D192-IF($G192="",Contracts!$C$3,$G192)))</f>
        <v/>
      </c>
      <c r="F192" s="12">
        <f>IF($E192="","",$E192-TODAY())</f>
        <v/>
      </c>
      <c r="G192" s="6" t="n"/>
      <c r="H192" s="13">
        <f>IF($A192="","",IF($F192="","",IF($F192&lt;0,"MISSED",IF($F192&lt;Contracts!$G$3,"ACT NOW","OK"))))</f>
        <v/>
      </c>
      <c r="I192" s="14">
        <f>IF($B192="","",SUMIFS(Contracts!$C$5:$C$204,Contracts!$B$5:$B$204,$B192))</f>
        <v/>
      </c>
      <c r="J192" s="8" t="n"/>
      <c r="K192" s="8" t="n"/>
      <c r="L192" s="8" t="n"/>
      <c r="M192" s="10" t="n"/>
      <c r="N192" s="14">
        <f>IF($A192="","",SUMIFS(Spend!$E$5:$E$204,Spend!$B$5:$B$204,$A192))</f>
        <v/>
      </c>
      <c r="O192" s="15">
        <f>IF($A192="","",IFERROR($N192/$C192,0))</f>
        <v/>
      </c>
      <c r="P192" s="8" t="n"/>
      <c r="Q192" s="8" t="n"/>
      <c r="R192" s="16">
        <f>IF($E192="","",COUNTIFS($E$5:$E$204,"&lt;"&amp;$E192)+COUNTIF($E$5:$E192,$E192))</f>
        <v/>
      </c>
    </row>
    <row r="193">
      <c r="A193" s="8" t="n"/>
      <c r="B193" s="8" t="n"/>
      <c r="C193" s="9" t="n"/>
      <c r="D193" s="10" t="n"/>
      <c r="E193" s="11">
        <f>IF($A193="","",IF($D193="","",$D193-IF($G193="",Contracts!$C$3,$G193)))</f>
        <v/>
      </c>
      <c r="F193" s="12">
        <f>IF($E193="","",$E193-TODAY())</f>
        <v/>
      </c>
      <c r="G193" s="6" t="n"/>
      <c r="H193" s="13">
        <f>IF($A193="","",IF($F193="","",IF($F193&lt;0,"MISSED",IF($F193&lt;Contracts!$G$3,"ACT NOW","OK"))))</f>
        <v/>
      </c>
      <c r="I193" s="14">
        <f>IF($B193="","",SUMIFS(Contracts!$C$5:$C$204,Contracts!$B$5:$B$204,$B193))</f>
        <v/>
      </c>
      <c r="J193" s="8" t="n"/>
      <c r="K193" s="8" t="n"/>
      <c r="L193" s="8" t="n"/>
      <c r="M193" s="10" t="n"/>
      <c r="N193" s="14">
        <f>IF($A193="","",SUMIFS(Spend!$E$5:$E$204,Spend!$B$5:$B$204,$A193))</f>
        <v/>
      </c>
      <c r="O193" s="15">
        <f>IF($A193="","",IFERROR($N193/$C193,0))</f>
        <v/>
      </c>
      <c r="P193" s="8" t="n"/>
      <c r="Q193" s="8" t="n"/>
      <c r="R193" s="16">
        <f>IF($E193="","",COUNTIFS($E$5:$E$204,"&lt;"&amp;$E193)+COUNTIF($E$5:$E193,$E193))</f>
        <v/>
      </c>
    </row>
    <row r="194">
      <c r="A194" s="8" t="n"/>
      <c r="B194" s="8" t="n"/>
      <c r="C194" s="9" t="n"/>
      <c r="D194" s="10" t="n"/>
      <c r="E194" s="11">
        <f>IF($A194="","",IF($D194="","",$D194-IF($G194="",Contracts!$C$3,$G194)))</f>
        <v/>
      </c>
      <c r="F194" s="12">
        <f>IF($E194="","",$E194-TODAY())</f>
        <v/>
      </c>
      <c r="G194" s="6" t="n"/>
      <c r="H194" s="13">
        <f>IF($A194="","",IF($F194="","",IF($F194&lt;0,"MISSED",IF($F194&lt;Contracts!$G$3,"ACT NOW","OK"))))</f>
        <v/>
      </c>
      <c r="I194" s="14">
        <f>IF($B194="","",SUMIFS(Contracts!$C$5:$C$204,Contracts!$B$5:$B$204,$B194))</f>
        <v/>
      </c>
      <c r="J194" s="8" t="n"/>
      <c r="K194" s="8" t="n"/>
      <c r="L194" s="8" t="n"/>
      <c r="M194" s="10" t="n"/>
      <c r="N194" s="14">
        <f>IF($A194="","",SUMIFS(Spend!$E$5:$E$204,Spend!$B$5:$B$204,$A194))</f>
        <v/>
      </c>
      <c r="O194" s="15">
        <f>IF($A194="","",IFERROR($N194/$C194,0))</f>
        <v/>
      </c>
      <c r="P194" s="8" t="n"/>
      <c r="Q194" s="8" t="n"/>
      <c r="R194" s="16">
        <f>IF($E194="","",COUNTIFS($E$5:$E$204,"&lt;"&amp;$E194)+COUNTIF($E$5:$E194,$E194))</f>
        <v/>
      </c>
    </row>
    <row r="195">
      <c r="A195" s="8" t="n"/>
      <c r="B195" s="8" t="n"/>
      <c r="C195" s="9" t="n"/>
      <c r="D195" s="10" t="n"/>
      <c r="E195" s="11">
        <f>IF($A195="","",IF($D195="","",$D195-IF($G195="",Contracts!$C$3,$G195)))</f>
        <v/>
      </c>
      <c r="F195" s="12">
        <f>IF($E195="","",$E195-TODAY())</f>
        <v/>
      </c>
      <c r="G195" s="6" t="n"/>
      <c r="H195" s="13">
        <f>IF($A195="","",IF($F195="","",IF($F195&lt;0,"MISSED",IF($F195&lt;Contracts!$G$3,"ACT NOW","OK"))))</f>
        <v/>
      </c>
      <c r="I195" s="14">
        <f>IF($B195="","",SUMIFS(Contracts!$C$5:$C$204,Contracts!$B$5:$B$204,$B195))</f>
        <v/>
      </c>
      <c r="J195" s="8" t="n"/>
      <c r="K195" s="8" t="n"/>
      <c r="L195" s="8" t="n"/>
      <c r="M195" s="10" t="n"/>
      <c r="N195" s="14">
        <f>IF($A195="","",SUMIFS(Spend!$E$5:$E$204,Spend!$B$5:$B$204,$A195))</f>
        <v/>
      </c>
      <c r="O195" s="15">
        <f>IF($A195="","",IFERROR($N195/$C195,0))</f>
        <v/>
      </c>
      <c r="P195" s="8" t="n"/>
      <c r="Q195" s="8" t="n"/>
      <c r="R195" s="16">
        <f>IF($E195="","",COUNTIFS($E$5:$E$204,"&lt;"&amp;$E195)+COUNTIF($E$5:$E195,$E195))</f>
        <v/>
      </c>
    </row>
    <row r="196">
      <c r="A196" s="8" t="n"/>
      <c r="B196" s="8" t="n"/>
      <c r="C196" s="9" t="n"/>
      <c r="D196" s="10" t="n"/>
      <c r="E196" s="11">
        <f>IF($A196="","",IF($D196="","",$D196-IF($G196="",Contracts!$C$3,$G196)))</f>
        <v/>
      </c>
      <c r="F196" s="12">
        <f>IF($E196="","",$E196-TODAY())</f>
        <v/>
      </c>
      <c r="G196" s="6" t="n"/>
      <c r="H196" s="13">
        <f>IF($A196="","",IF($F196="","",IF($F196&lt;0,"MISSED",IF($F196&lt;Contracts!$G$3,"ACT NOW","OK"))))</f>
        <v/>
      </c>
      <c r="I196" s="14">
        <f>IF($B196="","",SUMIFS(Contracts!$C$5:$C$204,Contracts!$B$5:$B$204,$B196))</f>
        <v/>
      </c>
      <c r="J196" s="8" t="n"/>
      <c r="K196" s="8" t="n"/>
      <c r="L196" s="8" t="n"/>
      <c r="M196" s="10" t="n"/>
      <c r="N196" s="14">
        <f>IF($A196="","",SUMIFS(Spend!$E$5:$E$204,Spend!$B$5:$B$204,$A196))</f>
        <v/>
      </c>
      <c r="O196" s="15">
        <f>IF($A196="","",IFERROR($N196/$C196,0))</f>
        <v/>
      </c>
      <c r="P196" s="8" t="n"/>
      <c r="Q196" s="8" t="n"/>
      <c r="R196" s="16">
        <f>IF($E196="","",COUNTIFS($E$5:$E$204,"&lt;"&amp;$E196)+COUNTIF($E$5:$E196,$E196))</f>
        <v/>
      </c>
    </row>
    <row r="197">
      <c r="A197" s="8" t="n"/>
      <c r="B197" s="8" t="n"/>
      <c r="C197" s="9" t="n"/>
      <c r="D197" s="10" t="n"/>
      <c r="E197" s="11">
        <f>IF($A197="","",IF($D197="","",$D197-IF($G197="",Contracts!$C$3,$G197)))</f>
        <v/>
      </c>
      <c r="F197" s="12">
        <f>IF($E197="","",$E197-TODAY())</f>
        <v/>
      </c>
      <c r="G197" s="6" t="n"/>
      <c r="H197" s="13">
        <f>IF($A197="","",IF($F197="","",IF($F197&lt;0,"MISSED",IF($F197&lt;Contracts!$G$3,"ACT NOW","OK"))))</f>
        <v/>
      </c>
      <c r="I197" s="14">
        <f>IF($B197="","",SUMIFS(Contracts!$C$5:$C$204,Contracts!$B$5:$B$204,$B197))</f>
        <v/>
      </c>
      <c r="J197" s="8" t="n"/>
      <c r="K197" s="8" t="n"/>
      <c r="L197" s="8" t="n"/>
      <c r="M197" s="10" t="n"/>
      <c r="N197" s="14">
        <f>IF($A197="","",SUMIFS(Spend!$E$5:$E$204,Spend!$B$5:$B$204,$A197))</f>
        <v/>
      </c>
      <c r="O197" s="15">
        <f>IF($A197="","",IFERROR($N197/$C197,0))</f>
        <v/>
      </c>
      <c r="P197" s="8" t="n"/>
      <c r="Q197" s="8" t="n"/>
      <c r="R197" s="16">
        <f>IF($E197="","",COUNTIFS($E$5:$E$204,"&lt;"&amp;$E197)+COUNTIF($E$5:$E197,$E197))</f>
        <v/>
      </c>
    </row>
    <row r="198">
      <c r="A198" s="8" t="n"/>
      <c r="B198" s="8" t="n"/>
      <c r="C198" s="9" t="n"/>
      <c r="D198" s="10" t="n"/>
      <c r="E198" s="11">
        <f>IF($A198="","",IF($D198="","",$D198-IF($G198="",Contracts!$C$3,$G198)))</f>
        <v/>
      </c>
      <c r="F198" s="12">
        <f>IF($E198="","",$E198-TODAY())</f>
        <v/>
      </c>
      <c r="G198" s="6" t="n"/>
      <c r="H198" s="13">
        <f>IF($A198="","",IF($F198="","",IF($F198&lt;0,"MISSED",IF($F198&lt;Contracts!$G$3,"ACT NOW","OK"))))</f>
        <v/>
      </c>
      <c r="I198" s="14">
        <f>IF($B198="","",SUMIFS(Contracts!$C$5:$C$204,Contracts!$B$5:$B$204,$B198))</f>
        <v/>
      </c>
      <c r="J198" s="8" t="n"/>
      <c r="K198" s="8" t="n"/>
      <c r="L198" s="8" t="n"/>
      <c r="M198" s="10" t="n"/>
      <c r="N198" s="14">
        <f>IF($A198="","",SUMIFS(Spend!$E$5:$E$204,Spend!$B$5:$B$204,$A198))</f>
        <v/>
      </c>
      <c r="O198" s="15">
        <f>IF($A198="","",IFERROR($N198/$C198,0))</f>
        <v/>
      </c>
      <c r="P198" s="8" t="n"/>
      <c r="Q198" s="8" t="n"/>
      <c r="R198" s="16">
        <f>IF($E198="","",COUNTIFS($E$5:$E$204,"&lt;"&amp;$E198)+COUNTIF($E$5:$E198,$E198))</f>
        <v/>
      </c>
    </row>
    <row r="199">
      <c r="A199" s="8" t="n"/>
      <c r="B199" s="8" t="n"/>
      <c r="C199" s="9" t="n"/>
      <c r="D199" s="10" t="n"/>
      <c r="E199" s="11">
        <f>IF($A199="","",IF($D199="","",$D199-IF($G199="",Contracts!$C$3,$G199)))</f>
        <v/>
      </c>
      <c r="F199" s="12">
        <f>IF($E199="","",$E199-TODAY())</f>
        <v/>
      </c>
      <c r="G199" s="6" t="n"/>
      <c r="H199" s="13">
        <f>IF($A199="","",IF($F199="","",IF($F199&lt;0,"MISSED",IF($F199&lt;Contracts!$G$3,"ACT NOW","OK"))))</f>
        <v/>
      </c>
      <c r="I199" s="14">
        <f>IF($B199="","",SUMIFS(Contracts!$C$5:$C$204,Contracts!$B$5:$B$204,$B199))</f>
        <v/>
      </c>
      <c r="J199" s="8" t="n"/>
      <c r="K199" s="8" t="n"/>
      <c r="L199" s="8" t="n"/>
      <c r="M199" s="10" t="n"/>
      <c r="N199" s="14">
        <f>IF($A199="","",SUMIFS(Spend!$E$5:$E$204,Spend!$B$5:$B$204,$A199))</f>
        <v/>
      </c>
      <c r="O199" s="15">
        <f>IF($A199="","",IFERROR($N199/$C199,0))</f>
        <v/>
      </c>
      <c r="P199" s="8" t="n"/>
      <c r="Q199" s="8" t="n"/>
      <c r="R199" s="16">
        <f>IF($E199="","",COUNTIFS($E$5:$E$204,"&lt;"&amp;$E199)+COUNTIF($E$5:$E199,$E199))</f>
        <v/>
      </c>
    </row>
    <row r="200">
      <c r="A200" s="8" t="n"/>
      <c r="B200" s="8" t="n"/>
      <c r="C200" s="9" t="n"/>
      <c r="D200" s="10" t="n"/>
      <c r="E200" s="11">
        <f>IF($A200="","",IF($D200="","",$D200-IF($G200="",Contracts!$C$3,$G200)))</f>
        <v/>
      </c>
      <c r="F200" s="12">
        <f>IF($E200="","",$E200-TODAY())</f>
        <v/>
      </c>
      <c r="G200" s="6" t="n"/>
      <c r="H200" s="13">
        <f>IF($A200="","",IF($F200="","",IF($F200&lt;0,"MISSED",IF($F200&lt;Contracts!$G$3,"ACT NOW","OK"))))</f>
        <v/>
      </c>
      <c r="I200" s="14">
        <f>IF($B200="","",SUMIFS(Contracts!$C$5:$C$204,Contracts!$B$5:$B$204,$B200))</f>
        <v/>
      </c>
      <c r="J200" s="8" t="n"/>
      <c r="K200" s="8" t="n"/>
      <c r="L200" s="8" t="n"/>
      <c r="M200" s="10" t="n"/>
      <c r="N200" s="14">
        <f>IF($A200="","",SUMIFS(Spend!$E$5:$E$204,Spend!$B$5:$B$204,$A200))</f>
        <v/>
      </c>
      <c r="O200" s="15">
        <f>IF($A200="","",IFERROR($N200/$C200,0))</f>
        <v/>
      </c>
      <c r="P200" s="8" t="n"/>
      <c r="Q200" s="8" t="n"/>
      <c r="R200" s="16">
        <f>IF($E200="","",COUNTIFS($E$5:$E$204,"&lt;"&amp;$E200)+COUNTIF($E$5:$E200,$E200))</f>
        <v/>
      </c>
    </row>
    <row r="201">
      <c r="A201" s="8" t="n"/>
      <c r="B201" s="8" t="n"/>
      <c r="C201" s="9" t="n"/>
      <c r="D201" s="10" t="n"/>
      <c r="E201" s="11">
        <f>IF($A201="","",IF($D201="","",$D201-IF($G201="",Contracts!$C$3,$G201)))</f>
        <v/>
      </c>
      <c r="F201" s="12">
        <f>IF($E201="","",$E201-TODAY())</f>
        <v/>
      </c>
      <c r="G201" s="6" t="n"/>
      <c r="H201" s="13">
        <f>IF($A201="","",IF($F201="","",IF($F201&lt;0,"MISSED",IF($F201&lt;Contracts!$G$3,"ACT NOW","OK"))))</f>
        <v/>
      </c>
      <c r="I201" s="14">
        <f>IF($B201="","",SUMIFS(Contracts!$C$5:$C$204,Contracts!$B$5:$B$204,$B201))</f>
        <v/>
      </c>
      <c r="J201" s="8" t="n"/>
      <c r="K201" s="8" t="n"/>
      <c r="L201" s="8" t="n"/>
      <c r="M201" s="10" t="n"/>
      <c r="N201" s="14">
        <f>IF($A201="","",SUMIFS(Spend!$E$5:$E$204,Spend!$B$5:$B$204,$A201))</f>
        <v/>
      </c>
      <c r="O201" s="15">
        <f>IF($A201="","",IFERROR($N201/$C201,0))</f>
        <v/>
      </c>
      <c r="P201" s="8" t="n"/>
      <c r="Q201" s="8" t="n"/>
      <c r="R201" s="16">
        <f>IF($E201="","",COUNTIFS($E$5:$E$204,"&lt;"&amp;$E201)+COUNTIF($E$5:$E201,$E201))</f>
        <v/>
      </c>
    </row>
    <row r="202">
      <c r="A202" s="8" t="n"/>
      <c r="B202" s="8" t="n"/>
      <c r="C202" s="9" t="n"/>
      <c r="D202" s="10" t="n"/>
      <c r="E202" s="11">
        <f>IF($A202="","",IF($D202="","",$D202-IF($G202="",Contracts!$C$3,$G202)))</f>
        <v/>
      </c>
      <c r="F202" s="12">
        <f>IF($E202="","",$E202-TODAY())</f>
        <v/>
      </c>
      <c r="G202" s="6" t="n"/>
      <c r="H202" s="13">
        <f>IF($A202="","",IF($F202="","",IF($F202&lt;0,"MISSED",IF($F202&lt;Contracts!$G$3,"ACT NOW","OK"))))</f>
        <v/>
      </c>
      <c r="I202" s="14">
        <f>IF($B202="","",SUMIFS(Contracts!$C$5:$C$204,Contracts!$B$5:$B$204,$B202))</f>
        <v/>
      </c>
      <c r="J202" s="8" t="n"/>
      <c r="K202" s="8" t="n"/>
      <c r="L202" s="8" t="n"/>
      <c r="M202" s="10" t="n"/>
      <c r="N202" s="14">
        <f>IF($A202="","",SUMIFS(Spend!$E$5:$E$204,Spend!$B$5:$B$204,$A202))</f>
        <v/>
      </c>
      <c r="O202" s="15">
        <f>IF($A202="","",IFERROR($N202/$C202,0))</f>
        <v/>
      </c>
      <c r="P202" s="8" t="n"/>
      <c r="Q202" s="8" t="n"/>
      <c r="R202" s="16">
        <f>IF($E202="","",COUNTIFS($E$5:$E$204,"&lt;"&amp;$E202)+COUNTIF($E$5:$E202,$E202))</f>
        <v/>
      </c>
    </row>
    <row r="203">
      <c r="A203" s="8" t="n"/>
      <c r="B203" s="8" t="n"/>
      <c r="C203" s="9" t="n"/>
      <c r="D203" s="10" t="n"/>
      <c r="E203" s="11">
        <f>IF($A203="","",IF($D203="","",$D203-IF($G203="",Contracts!$C$3,$G203)))</f>
        <v/>
      </c>
      <c r="F203" s="12">
        <f>IF($E203="","",$E203-TODAY())</f>
        <v/>
      </c>
      <c r="G203" s="6" t="n"/>
      <c r="H203" s="13">
        <f>IF($A203="","",IF($F203="","",IF($F203&lt;0,"MISSED",IF($F203&lt;Contracts!$G$3,"ACT NOW","OK"))))</f>
        <v/>
      </c>
      <c r="I203" s="14">
        <f>IF($B203="","",SUMIFS(Contracts!$C$5:$C$204,Contracts!$B$5:$B$204,$B203))</f>
        <v/>
      </c>
      <c r="J203" s="8" t="n"/>
      <c r="K203" s="8" t="n"/>
      <c r="L203" s="8" t="n"/>
      <c r="M203" s="10" t="n"/>
      <c r="N203" s="14">
        <f>IF($A203="","",SUMIFS(Spend!$E$5:$E$204,Spend!$B$5:$B$204,$A203))</f>
        <v/>
      </c>
      <c r="O203" s="15">
        <f>IF($A203="","",IFERROR($N203/$C203,0))</f>
        <v/>
      </c>
      <c r="P203" s="8" t="n"/>
      <c r="Q203" s="8" t="n"/>
      <c r="R203" s="16">
        <f>IF($E203="","",COUNTIFS($E$5:$E$204,"&lt;"&amp;$E203)+COUNTIF($E$5:$E203,$E203))</f>
        <v/>
      </c>
    </row>
    <row r="204">
      <c r="A204" s="8" t="n"/>
      <c r="B204" s="8" t="n"/>
      <c r="C204" s="9" t="n"/>
      <c r="D204" s="10" t="n"/>
      <c r="E204" s="11">
        <f>IF($A204="","",IF($D204="","",$D204-IF($G204="",Contracts!$C$3,$G204)))</f>
        <v/>
      </c>
      <c r="F204" s="12">
        <f>IF($E204="","",$E204-TODAY())</f>
        <v/>
      </c>
      <c r="G204" s="6" t="n"/>
      <c r="H204" s="13">
        <f>IF($A204="","",IF($F204="","",IF($F204&lt;0,"MISSED",IF($F204&lt;Contracts!$G$3,"ACT NOW","OK"))))</f>
        <v/>
      </c>
      <c r="I204" s="14">
        <f>IF($B204="","",SUMIFS(Contracts!$C$5:$C$204,Contracts!$B$5:$B$204,$B204))</f>
        <v/>
      </c>
      <c r="J204" s="8" t="n"/>
      <c r="K204" s="8" t="n"/>
      <c r="L204" s="8" t="n"/>
      <c r="M204" s="10" t="n"/>
      <c r="N204" s="14">
        <f>IF($A204="","",SUMIFS(Spend!$E$5:$E$204,Spend!$B$5:$B$204,$A204))</f>
        <v/>
      </c>
      <c r="O204" s="15">
        <f>IF($A204="","",IFERROR($N204/$C204,0))</f>
        <v/>
      </c>
      <c r="P204" s="8" t="n"/>
      <c r="Q204" s="8" t="n"/>
      <c r="R204" s="16">
        <f>IF($E204="","",COUNTIFS($E$5:$E$204,"&lt;"&amp;$E204)+COUNTIF($E$5:$E204,$E204))</f>
        <v/>
      </c>
    </row>
  </sheetData>
  <conditionalFormatting sqref="H5:H204">
    <cfRule type="cellIs" priority="1" operator="equal" dxfId="0">
      <formula>"MISSED"</formula>
    </cfRule>
    <cfRule type="cellIs" priority="2" operator="equal" dxfId="1">
      <formula>"ACT NOW"</formula>
    </cfRule>
  </conditionalFormatting>
  <conditionalFormatting sqref="F5:F204">
    <cfRule type="colorScale" priority="3">
      <colorScale>
        <cfvo type="num" val="-30"/>
        <cfvo type="num" val="30"/>
        <cfvo type="num" val="180"/>
        <color rgb="00FFC7CE"/>
        <color rgb="00FFEB9C"/>
        <color rgb="00C6EFCE"/>
      </colorScale>
    </cfRule>
  </conditionalFormatting>
  <dataValidations count="3">
    <dataValidation sqref="K5:K204" showDropDown="0" showInputMessage="0" showErrorMessage="0" allowBlank="1" promptTitle="Auto-renews" prompt="Yes means doing nothing is a decision to keep paying." type="list">
      <formula1>"Yes,No"</formula1>
    </dataValidation>
    <dataValidation sqref="L5:L204" showDropDown="0" showInputMessage="0" showErrorMessage="0" allowBlank="1" type="list">
      <formula1>"Annual,Monthly,Quarterly,Multi-year,Rolling"</formula1>
    </dataValidation>
    <dataValidation sqref="P5:P204" showDropDown="0" showInputMessage="0" showErrorMessage="0" allowBlank="1" promptTitle="Review decision" prompt="Record the decision before the notice date, not after the invoice." type="list">
      <formula1>"Undecided,Renew,Renegotiate,Cancel,Cancelled"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107"/>
  <sheetViews>
    <sheetView workbookViewId="0">
      <pane ySplit="4" topLeftCell="A5" activePane="bottomLeft" state="frozen"/>
      <selection pane="bottomLeft" activeCell="A1" sqref="A1"/>
    </sheetView>
  </sheetViews>
  <sheetFormatPr baseColWidth="8" defaultRowHeight="15"/>
  <cols>
    <col width="20" customWidth="1" min="1" max="1"/>
    <col width="17" customWidth="1" min="2" max="2"/>
    <col width="16" customWidth="1" min="3" max="3"/>
    <col width="32" customWidth="1" min="4" max="4"/>
    <col width="19" customWidth="1" min="5" max="5"/>
    <col width="15" customWidth="1" min="6" max="6"/>
    <col width="13" customWidth="1" min="7" max="7"/>
    <col width="12" customWidth="1" min="8" max="8"/>
    <col width="13" customWidth="1" min="9" max="9"/>
    <col width="13" customWidth="1" min="10" max="10"/>
    <col width="11" customWidth="1" min="11" max="11"/>
    <col width="10" customWidth="1" min="12" max="12"/>
    <col width="14" customWidth="1" min="13" max="13"/>
    <col width="13" customWidth="1" min="14" max="14"/>
    <col width="14" customWidth="1" min="15" max="15"/>
    <col width="12" customWidth="1" min="16" max="16"/>
    <col width="40" customWidth="1" min="17" max="17"/>
  </cols>
  <sheetData>
    <row r="1">
      <c r="A1" s="1" t="inlineStr">
        <is>
          <t>Vendors</t>
        </is>
      </c>
    </row>
    <row r="2">
      <c r="A2" s="2" t="inlineStr">
        <is>
          <t>Who to call and under what terms. Type A-K and Q; L onwards is calculated from Contracts and Spend.</t>
        </is>
      </c>
    </row>
    <row r="4">
      <c r="A4" s="7" t="inlineStr">
        <is>
          <t>Vendor</t>
        </is>
      </c>
      <c r="B4" s="7" t="inlineStr">
        <is>
          <t>Category</t>
        </is>
      </c>
      <c r="C4" s="7" t="inlineStr">
        <is>
          <t>Contact</t>
        </is>
      </c>
      <c r="D4" s="7" t="inlineStr">
        <is>
          <t>Email</t>
        </is>
      </c>
      <c r="E4" s="7" t="inlineStr">
        <is>
          <t>Phone</t>
        </is>
      </c>
      <c r="F4" s="7" t="inlineStr">
        <is>
          <t>Account number</t>
        </is>
      </c>
      <c r="G4" s="7" t="inlineStr">
        <is>
          <t>Support tier</t>
        </is>
      </c>
      <c r="H4" s="7" t="inlineStr">
        <is>
          <t>Response SLA (h)</t>
        </is>
      </c>
      <c r="I4" s="7" t="inlineStr">
        <is>
          <t>Standard notice (days)</t>
        </is>
      </c>
      <c r="J4" s="7" t="inlineStr">
        <is>
          <t>Payment terms (days)</t>
        </is>
      </c>
      <c r="K4" s="7" t="inlineStr">
        <is>
          <t>Status</t>
        </is>
      </c>
      <c r="L4" s="7" t="inlineStr">
        <is>
          <t>Contracts</t>
        </is>
      </c>
      <c r="M4" s="7" t="inlineStr">
        <is>
          <t>Annual contracted</t>
        </is>
      </c>
      <c r="N4" s="7" t="inlineStr">
        <is>
          <t>Invoiced to date</t>
        </is>
      </c>
      <c r="O4" s="7" t="inlineStr">
        <is>
          <t>Invoiced vs contracted</t>
        </is>
      </c>
      <c r="P4" s="7" t="inlineStr">
        <is>
          <t>Windows missed</t>
        </is>
      </c>
      <c r="Q4" s="7" t="inlineStr">
        <is>
          <t>Notes</t>
        </is>
      </c>
    </row>
    <row r="5">
      <c r="A5" s="8" t="inlineStr">
        <is>
          <t>Cloud host</t>
        </is>
      </c>
      <c r="B5" s="8" t="inlineStr">
        <is>
          <t>Infrastructure</t>
        </is>
      </c>
      <c r="C5" s="8" t="inlineStr">
        <is>
          <t>R. Meyer</t>
        </is>
      </c>
      <c r="D5" s="8" t="inlineStr">
        <is>
          <t>accounts@cloudhost.example</t>
        </is>
      </c>
      <c r="E5" s="8" t="inlineStr">
        <is>
          <t>+33 1 45 00 11 22</t>
        </is>
      </c>
      <c r="F5" s="8" t="inlineStr">
        <is>
          <t>CH-40291</t>
        </is>
      </c>
      <c r="G5" s="8" t="inlineStr">
        <is>
          <t>Business</t>
        </is>
      </c>
      <c r="H5" s="18" t="n">
        <v>4</v>
      </c>
      <c r="I5" s="6" t="n">
        <v>30</v>
      </c>
      <c r="J5" s="6" t="n">
        <v>30</v>
      </c>
      <c r="K5" s="8" t="inlineStr">
        <is>
          <t>Active</t>
        </is>
      </c>
      <c r="L5" s="16">
        <f>IF($A5="","",COUNTIFS(Contracts!$A$5:$A$204,$A5))</f>
        <v/>
      </c>
      <c r="M5" s="14">
        <f>IF($A5="","",SUMIFS(Contracts!$C$5:$C$204,Contracts!$A$5:$A$204,$A5))</f>
        <v/>
      </c>
      <c r="N5" s="14">
        <f>IF($A5="","",SUMIFS(Spend!$E$5:$E$204,Spend!$B$5:$B$204,$A5))</f>
        <v/>
      </c>
      <c r="O5" s="15">
        <f>IF($A5="","",IFERROR($N5/$M5,0))</f>
        <v/>
      </c>
      <c r="P5" s="16">
        <f>IF($A5="","",COUNTIFS(Contracts!$A$5:$A$204,$A5,Contracts!$H$5:$H$204,"MISSED"))</f>
        <v/>
      </c>
      <c r="Q5" s="8" t="n"/>
    </row>
    <row r="6">
      <c r="A6" s="8" t="inlineStr">
        <is>
          <t>CRM licence</t>
        </is>
      </c>
      <c r="B6" s="8" t="inlineStr">
        <is>
          <t>Sales software</t>
        </is>
      </c>
      <c r="C6" s="8" t="inlineStr">
        <is>
          <t>J. Almeida</t>
        </is>
      </c>
      <c r="D6" s="8" t="inlineStr">
        <is>
          <t>billing@crmvendor.example</t>
        </is>
      </c>
      <c r="E6" s="8" t="inlineStr">
        <is>
          <t>+44 20 7946 0110</t>
        </is>
      </c>
      <c r="F6" s="8" t="inlineStr">
        <is>
          <t>CRM-88114</t>
        </is>
      </c>
      <c r="G6" s="8" t="inlineStr">
        <is>
          <t>Standard</t>
        </is>
      </c>
      <c r="H6" s="18" t="n">
        <v>8</v>
      </c>
      <c r="I6" s="6" t="n">
        <v>30</v>
      </c>
      <c r="J6" s="6" t="n">
        <v>30</v>
      </c>
      <c r="K6" s="8" t="inlineStr">
        <is>
          <t>Active</t>
        </is>
      </c>
      <c r="L6" s="16">
        <f>IF($A6="","",COUNTIFS(Contracts!$A$5:$A$204,$A6))</f>
        <v/>
      </c>
      <c r="M6" s="14">
        <f>IF($A6="","",SUMIFS(Contracts!$C$5:$C$204,Contracts!$A$5:$A$204,$A6))</f>
        <v/>
      </c>
      <c r="N6" s="14">
        <f>IF($A6="","",SUMIFS(Spend!$E$5:$E$204,Spend!$B$5:$B$204,$A6))</f>
        <v/>
      </c>
      <c r="O6" s="15">
        <f>IF($A6="","",IFERROR($N6/$M6,0))</f>
        <v/>
      </c>
      <c r="P6" s="16">
        <f>IF($A6="","",COUNTIFS(Contracts!$A$5:$A$204,$A6,Contracts!$H$5:$H$204,"MISSED"))</f>
        <v/>
      </c>
      <c r="Q6" s="8" t="n"/>
    </row>
    <row r="7">
      <c r="A7" s="8" t="inlineStr">
        <is>
          <t>Design tools</t>
        </is>
      </c>
      <c r="B7" s="8" t="inlineStr">
        <is>
          <t>Design software</t>
        </is>
      </c>
      <c r="C7" s="8" t="inlineStr">
        <is>
          <t>Support desk</t>
        </is>
      </c>
      <c r="D7" s="8" t="inlineStr">
        <is>
          <t>support@designtools.example</t>
        </is>
      </c>
      <c r="E7" s="8" t="n"/>
      <c r="F7" s="8" t="inlineStr">
        <is>
          <t>DT-55020</t>
        </is>
      </c>
      <c r="G7" s="8" t="inlineStr">
        <is>
          <t>Standard</t>
        </is>
      </c>
      <c r="H7" s="18" t="n">
        <v>24</v>
      </c>
      <c r="I7" s="6" t="n">
        <v>30</v>
      </c>
      <c r="J7" s="6" t="n">
        <v>14</v>
      </c>
      <c r="K7" s="8" t="inlineStr">
        <is>
          <t>Active</t>
        </is>
      </c>
      <c r="L7" s="16">
        <f>IF($A7="","",COUNTIFS(Contracts!$A$5:$A$204,$A7))</f>
        <v/>
      </c>
      <c r="M7" s="14">
        <f>IF($A7="","",SUMIFS(Contracts!$C$5:$C$204,Contracts!$A$5:$A$204,$A7))</f>
        <v/>
      </c>
      <c r="N7" s="14">
        <f>IF($A7="","",SUMIFS(Spend!$E$5:$E$204,Spend!$B$5:$B$204,$A7))</f>
        <v/>
      </c>
      <c r="O7" s="15">
        <f>IF($A7="","",IFERROR($N7/$M7,0))</f>
        <v/>
      </c>
      <c r="P7" s="16">
        <f>IF($A7="","",COUNTIFS(Contracts!$A$5:$A$204,$A7,Contracts!$H$5:$H$204,"MISSED"))</f>
        <v/>
      </c>
      <c r="Q7" s="8" t="n"/>
    </row>
    <row r="8">
      <c r="A8" s="8" t="inlineStr">
        <is>
          <t>Payroll bureau</t>
        </is>
      </c>
      <c r="B8" s="8" t="inlineStr">
        <is>
          <t>Finance services</t>
        </is>
      </c>
      <c r="C8" s="8" t="inlineStr">
        <is>
          <t>C. Laurent</t>
        </is>
      </c>
      <c r="D8" s="8" t="inlineStr">
        <is>
          <t>service@payrollbureau.example</t>
        </is>
      </c>
      <c r="E8" s="8" t="inlineStr">
        <is>
          <t>+33 1 55 00 44 90</t>
        </is>
      </c>
      <c r="F8" s="8" t="inlineStr">
        <is>
          <t>PB-1207</t>
        </is>
      </c>
      <c r="G8" s="8" t="inlineStr">
        <is>
          <t>Managed</t>
        </is>
      </c>
      <c r="H8" s="18" t="n">
        <v>24</v>
      </c>
      <c r="I8" s="6" t="n">
        <v>90</v>
      </c>
      <c r="J8" s="6" t="n">
        <v>30</v>
      </c>
      <c r="K8" s="8" t="inlineStr">
        <is>
          <t>Active</t>
        </is>
      </c>
      <c r="L8" s="16">
        <f>IF($A8="","",COUNTIFS(Contracts!$A$5:$A$204,$A8))</f>
        <v/>
      </c>
      <c r="M8" s="14">
        <f>IF($A8="","",SUMIFS(Contracts!$C$5:$C$204,Contracts!$A$5:$A$204,$A8))</f>
        <v/>
      </c>
      <c r="N8" s="14">
        <f>IF($A8="","",SUMIFS(Spend!$E$5:$E$204,Spend!$B$5:$B$204,$A8))</f>
        <v/>
      </c>
      <c r="O8" s="15">
        <f>IF($A8="","",IFERROR($N8/$M8,0))</f>
        <v/>
      </c>
      <c r="P8" s="16">
        <f>IF($A8="","",COUNTIFS(Contracts!$A$5:$A$204,$A8,Contracts!$H$5:$H$204,"MISSED"))</f>
        <v/>
      </c>
      <c r="Q8" s="8" t="n"/>
    </row>
    <row r="9">
      <c r="A9" s="8" t="n"/>
      <c r="B9" s="8" t="n"/>
      <c r="C9" s="8" t="n"/>
      <c r="D9" s="8" t="n"/>
      <c r="E9" s="8" t="n"/>
      <c r="F9" s="8" t="n"/>
      <c r="G9" s="8" t="n"/>
      <c r="H9" s="18" t="n"/>
      <c r="I9" s="6" t="n"/>
      <c r="J9" s="6" t="n"/>
      <c r="K9" s="8" t="n"/>
      <c r="L9" s="16">
        <f>IF($A9="","",COUNTIFS(Contracts!$A$5:$A$204,$A9))</f>
        <v/>
      </c>
      <c r="M9" s="14">
        <f>IF($A9="","",SUMIFS(Contracts!$C$5:$C$204,Contracts!$A$5:$A$204,$A9))</f>
        <v/>
      </c>
      <c r="N9" s="14">
        <f>IF($A9="","",SUMIFS(Spend!$E$5:$E$204,Spend!$B$5:$B$204,$A9))</f>
        <v/>
      </c>
      <c r="O9" s="15">
        <f>IF($A9="","",IFERROR($N9/$M9,0))</f>
        <v/>
      </c>
      <c r="P9" s="16">
        <f>IF($A9="","",COUNTIFS(Contracts!$A$5:$A$204,$A9,Contracts!$H$5:$H$204,"MISSED"))</f>
        <v/>
      </c>
      <c r="Q9" s="8" t="n"/>
    </row>
    <row r="10">
      <c r="A10" s="8" t="n"/>
      <c r="B10" s="8" t="n"/>
      <c r="C10" s="8" t="n"/>
      <c r="D10" s="8" t="n"/>
      <c r="E10" s="8" t="n"/>
      <c r="F10" s="8" t="n"/>
      <c r="G10" s="8" t="n"/>
      <c r="H10" s="18" t="n"/>
      <c r="I10" s="6" t="n"/>
      <c r="J10" s="6" t="n"/>
      <c r="K10" s="8" t="n"/>
      <c r="L10" s="16">
        <f>IF($A10="","",COUNTIFS(Contracts!$A$5:$A$204,$A10))</f>
        <v/>
      </c>
      <c r="M10" s="14">
        <f>IF($A10="","",SUMIFS(Contracts!$C$5:$C$204,Contracts!$A$5:$A$204,$A10))</f>
        <v/>
      </c>
      <c r="N10" s="14">
        <f>IF($A10="","",SUMIFS(Spend!$E$5:$E$204,Spend!$B$5:$B$204,$A10))</f>
        <v/>
      </c>
      <c r="O10" s="15">
        <f>IF($A10="","",IFERROR($N10/$M10,0))</f>
        <v/>
      </c>
      <c r="P10" s="16">
        <f>IF($A10="","",COUNTIFS(Contracts!$A$5:$A$204,$A10,Contracts!$H$5:$H$204,"MISSED"))</f>
        <v/>
      </c>
      <c r="Q10" s="8" t="n"/>
    </row>
    <row r="11">
      <c r="A11" s="8" t="n"/>
      <c r="B11" s="8" t="n"/>
      <c r="C11" s="8" t="n"/>
      <c r="D11" s="8" t="n"/>
      <c r="E11" s="8" t="n"/>
      <c r="F11" s="8" t="n"/>
      <c r="G11" s="8" t="n"/>
      <c r="H11" s="18" t="n"/>
      <c r="I11" s="6" t="n"/>
      <c r="J11" s="6" t="n"/>
      <c r="K11" s="8" t="n"/>
      <c r="L11" s="16">
        <f>IF($A11="","",COUNTIFS(Contracts!$A$5:$A$204,$A11))</f>
        <v/>
      </c>
      <c r="M11" s="14">
        <f>IF($A11="","",SUMIFS(Contracts!$C$5:$C$204,Contracts!$A$5:$A$204,$A11))</f>
        <v/>
      </c>
      <c r="N11" s="14">
        <f>IF($A11="","",SUMIFS(Spend!$E$5:$E$204,Spend!$B$5:$B$204,$A11))</f>
        <v/>
      </c>
      <c r="O11" s="15">
        <f>IF($A11="","",IFERROR($N11/$M11,0))</f>
        <v/>
      </c>
      <c r="P11" s="16">
        <f>IF($A11="","",COUNTIFS(Contracts!$A$5:$A$204,$A11,Contracts!$H$5:$H$204,"MISSED"))</f>
        <v/>
      </c>
      <c r="Q11" s="8" t="n"/>
    </row>
    <row r="12">
      <c r="A12" s="8" t="n"/>
      <c r="B12" s="8" t="n"/>
      <c r="C12" s="8" t="n"/>
      <c r="D12" s="8" t="n"/>
      <c r="E12" s="8" t="n"/>
      <c r="F12" s="8" t="n"/>
      <c r="G12" s="8" t="n"/>
      <c r="H12" s="18" t="n"/>
      <c r="I12" s="6" t="n"/>
      <c r="J12" s="6" t="n"/>
      <c r="K12" s="8" t="n"/>
      <c r="L12" s="16">
        <f>IF($A12="","",COUNTIFS(Contracts!$A$5:$A$204,$A12))</f>
        <v/>
      </c>
      <c r="M12" s="14">
        <f>IF($A12="","",SUMIFS(Contracts!$C$5:$C$204,Contracts!$A$5:$A$204,$A12))</f>
        <v/>
      </c>
      <c r="N12" s="14">
        <f>IF($A12="","",SUMIFS(Spend!$E$5:$E$204,Spend!$B$5:$B$204,$A12))</f>
        <v/>
      </c>
      <c r="O12" s="15">
        <f>IF($A12="","",IFERROR($N12/$M12,0))</f>
        <v/>
      </c>
      <c r="P12" s="16">
        <f>IF($A12="","",COUNTIFS(Contracts!$A$5:$A$204,$A12,Contracts!$H$5:$H$204,"MISSED"))</f>
        <v/>
      </c>
      <c r="Q12" s="8" t="n"/>
    </row>
    <row r="13">
      <c r="A13" s="8" t="n"/>
      <c r="B13" s="8" t="n"/>
      <c r="C13" s="8" t="n"/>
      <c r="D13" s="8" t="n"/>
      <c r="E13" s="8" t="n"/>
      <c r="F13" s="8" t="n"/>
      <c r="G13" s="8" t="n"/>
      <c r="H13" s="18" t="n"/>
      <c r="I13" s="6" t="n"/>
      <c r="J13" s="6" t="n"/>
      <c r="K13" s="8" t="n"/>
      <c r="L13" s="16">
        <f>IF($A13="","",COUNTIFS(Contracts!$A$5:$A$204,$A13))</f>
        <v/>
      </c>
      <c r="M13" s="14">
        <f>IF($A13="","",SUMIFS(Contracts!$C$5:$C$204,Contracts!$A$5:$A$204,$A13))</f>
        <v/>
      </c>
      <c r="N13" s="14">
        <f>IF($A13="","",SUMIFS(Spend!$E$5:$E$204,Spend!$B$5:$B$204,$A13))</f>
        <v/>
      </c>
      <c r="O13" s="15">
        <f>IF($A13="","",IFERROR($N13/$M13,0))</f>
        <v/>
      </c>
      <c r="P13" s="16">
        <f>IF($A13="","",COUNTIFS(Contracts!$A$5:$A$204,$A13,Contracts!$H$5:$H$204,"MISSED"))</f>
        <v/>
      </c>
      <c r="Q13" s="8" t="n"/>
    </row>
    <row r="14">
      <c r="A14" s="8" t="n"/>
      <c r="B14" s="8" t="n"/>
      <c r="C14" s="8" t="n"/>
      <c r="D14" s="8" t="n"/>
      <c r="E14" s="8" t="n"/>
      <c r="F14" s="8" t="n"/>
      <c r="G14" s="8" t="n"/>
      <c r="H14" s="18" t="n"/>
      <c r="I14" s="6" t="n"/>
      <c r="J14" s="6" t="n"/>
      <c r="K14" s="8" t="n"/>
      <c r="L14" s="16">
        <f>IF($A14="","",COUNTIFS(Contracts!$A$5:$A$204,$A14))</f>
        <v/>
      </c>
      <c r="M14" s="14">
        <f>IF($A14="","",SUMIFS(Contracts!$C$5:$C$204,Contracts!$A$5:$A$204,$A14))</f>
        <v/>
      </c>
      <c r="N14" s="14">
        <f>IF($A14="","",SUMIFS(Spend!$E$5:$E$204,Spend!$B$5:$B$204,$A14))</f>
        <v/>
      </c>
      <c r="O14" s="15">
        <f>IF($A14="","",IFERROR($N14/$M14,0))</f>
        <v/>
      </c>
      <c r="P14" s="16">
        <f>IF($A14="","",COUNTIFS(Contracts!$A$5:$A$204,$A14,Contracts!$H$5:$H$204,"MISSED"))</f>
        <v/>
      </c>
      <c r="Q14" s="8" t="n"/>
    </row>
    <row r="15">
      <c r="A15" s="8" t="n"/>
      <c r="B15" s="8" t="n"/>
      <c r="C15" s="8" t="n"/>
      <c r="D15" s="8" t="n"/>
      <c r="E15" s="8" t="n"/>
      <c r="F15" s="8" t="n"/>
      <c r="G15" s="8" t="n"/>
      <c r="H15" s="18" t="n"/>
      <c r="I15" s="6" t="n"/>
      <c r="J15" s="6" t="n"/>
      <c r="K15" s="8" t="n"/>
      <c r="L15" s="16">
        <f>IF($A15="","",COUNTIFS(Contracts!$A$5:$A$204,$A15))</f>
        <v/>
      </c>
      <c r="M15" s="14">
        <f>IF($A15="","",SUMIFS(Contracts!$C$5:$C$204,Contracts!$A$5:$A$204,$A15))</f>
        <v/>
      </c>
      <c r="N15" s="14">
        <f>IF($A15="","",SUMIFS(Spend!$E$5:$E$204,Spend!$B$5:$B$204,$A15))</f>
        <v/>
      </c>
      <c r="O15" s="15">
        <f>IF($A15="","",IFERROR($N15/$M15,0))</f>
        <v/>
      </c>
      <c r="P15" s="16">
        <f>IF($A15="","",COUNTIFS(Contracts!$A$5:$A$204,$A15,Contracts!$H$5:$H$204,"MISSED"))</f>
        <v/>
      </c>
      <c r="Q15" s="8" t="n"/>
    </row>
    <row r="16">
      <c r="A16" s="8" t="n"/>
      <c r="B16" s="8" t="n"/>
      <c r="C16" s="8" t="n"/>
      <c r="D16" s="8" t="n"/>
      <c r="E16" s="8" t="n"/>
      <c r="F16" s="8" t="n"/>
      <c r="G16" s="8" t="n"/>
      <c r="H16" s="18" t="n"/>
      <c r="I16" s="6" t="n"/>
      <c r="J16" s="6" t="n"/>
      <c r="K16" s="8" t="n"/>
      <c r="L16" s="16">
        <f>IF($A16="","",COUNTIFS(Contracts!$A$5:$A$204,$A16))</f>
        <v/>
      </c>
      <c r="M16" s="14">
        <f>IF($A16="","",SUMIFS(Contracts!$C$5:$C$204,Contracts!$A$5:$A$204,$A16))</f>
        <v/>
      </c>
      <c r="N16" s="14">
        <f>IF($A16="","",SUMIFS(Spend!$E$5:$E$204,Spend!$B$5:$B$204,$A16))</f>
        <v/>
      </c>
      <c r="O16" s="15">
        <f>IF($A16="","",IFERROR($N16/$M16,0))</f>
        <v/>
      </c>
      <c r="P16" s="16">
        <f>IF($A16="","",COUNTIFS(Contracts!$A$5:$A$204,$A16,Contracts!$H$5:$H$204,"MISSED"))</f>
        <v/>
      </c>
      <c r="Q16" s="8" t="n"/>
    </row>
    <row r="17">
      <c r="A17" s="8" t="n"/>
      <c r="B17" s="8" t="n"/>
      <c r="C17" s="8" t="n"/>
      <c r="D17" s="8" t="n"/>
      <c r="E17" s="8" t="n"/>
      <c r="F17" s="8" t="n"/>
      <c r="G17" s="8" t="n"/>
      <c r="H17" s="18" t="n"/>
      <c r="I17" s="6" t="n"/>
      <c r="J17" s="6" t="n"/>
      <c r="K17" s="8" t="n"/>
      <c r="L17" s="16">
        <f>IF($A17="","",COUNTIFS(Contracts!$A$5:$A$204,$A17))</f>
        <v/>
      </c>
      <c r="M17" s="14">
        <f>IF($A17="","",SUMIFS(Contracts!$C$5:$C$204,Contracts!$A$5:$A$204,$A17))</f>
        <v/>
      </c>
      <c r="N17" s="14">
        <f>IF($A17="","",SUMIFS(Spend!$E$5:$E$204,Spend!$B$5:$B$204,$A17))</f>
        <v/>
      </c>
      <c r="O17" s="15">
        <f>IF($A17="","",IFERROR($N17/$M17,0))</f>
        <v/>
      </c>
      <c r="P17" s="16">
        <f>IF($A17="","",COUNTIFS(Contracts!$A$5:$A$204,$A17,Contracts!$H$5:$H$204,"MISSED"))</f>
        <v/>
      </c>
      <c r="Q17" s="8" t="n"/>
    </row>
    <row r="18">
      <c r="A18" s="8" t="n"/>
      <c r="B18" s="8" t="n"/>
      <c r="C18" s="8" t="n"/>
      <c r="D18" s="8" t="n"/>
      <c r="E18" s="8" t="n"/>
      <c r="F18" s="8" t="n"/>
      <c r="G18" s="8" t="n"/>
      <c r="H18" s="18" t="n"/>
      <c r="I18" s="6" t="n"/>
      <c r="J18" s="6" t="n"/>
      <c r="K18" s="8" t="n"/>
      <c r="L18" s="16">
        <f>IF($A18="","",COUNTIFS(Contracts!$A$5:$A$204,$A18))</f>
        <v/>
      </c>
      <c r="M18" s="14">
        <f>IF($A18="","",SUMIFS(Contracts!$C$5:$C$204,Contracts!$A$5:$A$204,$A18))</f>
        <v/>
      </c>
      <c r="N18" s="14">
        <f>IF($A18="","",SUMIFS(Spend!$E$5:$E$204,Spend!$B$5:$B$204,$A18))</f>
        <v/>
      </c>
      <c r="O18" s="15">
        <f>IF($A18="","",IFERROR($N18/$M18,0))</f>
        <v/>
      </c>
      <c r="P18" s="16">
        <f>IF($A18="","",COUNTIFS(Contracts!$A$5:$A$204,$A18,Contracts!$H$5:$H$204,"MISSED"))</f>
        <v/>
      </c>
      <c r="Q18" s="8" t="n"/>
    </row>
    <row r="19">
      <c r="A19" s="8" t="n"/>
      <c r="B19" s="8" t="n"/>
      <c r="C19" s="8" t="n"/>
      <c r="D19" s="8" t="n"/>
      <c r="E19" s="8" t="n"/>
      <c r="F19" s="8" t="n"/>
      <c r="G19" s="8" t="n"/>
      <c r="H19" s="18" t="n"/>
      <c r="I19" s="6" t="n"/>
      <c r="J19" s="6" t="n"/>
      <c r="K19" s="8" t="n"/>
      <c r="L19" s="16">
        <f>IF($A19="","",COUNTIFS(Contracts!$A$5:$A$204,$A19))</f>
        <v/>
      </c>
      <c r="M19" s="14">
        <f>IF($A19="","",SUMIFS(Contracts!$C$5:$C$204,Contracts!$A$5:$A$204,$A19))</f>
        <v/>
      </c>
      <c r="N19" s="14">
        <f>IF($A19="","",SUMIFS(Spend!$E$5:$E$204,Spend!$B$5:$B$204,$A19))</f>
        <v/>
      </c>
      <c r="O19" s="15">
        <f>IF($A19="","",IFERROR($N19/$M19,0))</f>
        <v/>
      </c>
      <c r="P19" s="16">
        <f>IF($A19="","",COUNTIFS(Contracts!$A$5:$A$204,$A19,Contracts!$H$5:$H$204,"MISSED"))</f>
        <v/>
      </c>
      <c r="Q19" s="8" t="n"/>
    </row>
    <row r="20">
      <c r="A20" s="8" t="n"/>
      <c r="B20" s="8" t="n"/>
      <c r="C20" s="8" t="n"/>
      <c r="D20" s="8" t="n"/>
      <c r="E20" s="8" t="n"/>
      <c r="F20" s="8" t="n"/>
      <c r="G20" s="8" t="n"/>
      <c r="H20" s="18" t="n"/>
      <c r="I20" s="6" t="n"/>
      <c r="J20" s="6" t="n"/>
      <c r="K20" s="8" t="n"/>
      <c r="L20" s="16">
        <f>IF($A20="","",COUNTIFS(Contracts!$A$5:$A$204,$A20))</f>
        <v/>
      </c>
      <c r="M20" s="14">
        <f>IF($A20="","",SUMIFS(Contracts!$C$5:$C$204,Contracts!$A$5:$A$204,$A20))</f>
        <v/>
      </c>
      <c r="N20" s="14">
        <f>IF($A20="","",SUMIFS(Spend!$E$5:$E$204,Spend!$B$5:$B$204,$A20))</f>
        <v/>
      </c>
      <c r="O20" s="15">
        <f>IF($A20="","",IFERROR($N20/$M20,0))</f>
        <v/>
      </c>
      <c r="P20" s="16">
        <f>IF($A20="","",COUNTIFS(Contracts!$A$5:$A$204,$A20,Contracts!$H$5:$H$204,"MISSED"))</f>
        <v/>
      </c>
      <c r="Q20" s="8" t="n"/>
    </row>
    <row r="21">
      <c r="A21" s="8" t="n"/>
      <c r="B21" s="8" t="n"/>
      <c r="C21" s="8" t="n"/>
      <c r="D21" s="8" t="n"/>
      <c r="E21" s="8" t="n"/>
      <c r="F21" s="8" t="n"/>
      <c r="G21" s="8" t="n"/>
      <c r="H21" s="18" t="n"/>
      <c r="I21" s="6" t="n"/>
      <c r="J21" s="6" t="n"/>
      <c r="K21" s="8" t="n"/>
      <c r="L21" s="16">
        <f>IF($A21="","",COUNTIFS(Contracts!$A$5:$A$204,$A21))</f>
        <v/>
      </c>
      <c r="M21" s="14">
        <f>IF($A21="","",SUMIFS(Contracts!$C$5:$C$204,Contracts!$A$5:$A$204,$A21))</f>
        <v/>
      </c>
      <c r="N21" s="14">
        <f>IF($A21="","",SUMIFS(Spend!$E$5:$E$204,Spend!$B$5:$B$204,$A21))</f>
        <v/>
      </c>
      <c r="O21" s="15">
        <f>IF($A21="","",IFERROR($N21/$M21,0))</f>
        <v/>
      </c>
      <c r="P21" s="16">
        <f>IF($A21="","",COUNTIFS(Contracts!$A$5:$A$204,$A21,Contracts!$H$5:$H$204,"MISSED"))</f>
        <v/>
      </c>
      <c r="Q21" s="8" t="n"/>
    </row>
    <row r="22">
      <c r="A22" s="8" t="n"/>
      <c r="B22" s="8" t="n"/>
      <c r="C22" s="8" t="n"/>
      <c r="D22" s="8" t="n"/>
      <c r="E22" s="8" t="n"/>
      <c r="F22" s="8" t="n"/>
      <c r="G22" s="8" t="n"/>
      <c r="H22" s="18" t="n"/>
      <c r="I22" s="6" t="n"/>
      <c r="J22" s="6" t="n"/>
      <c r="K22" s="8" t="n"/>
      <c r="L22" s="16">
        <f>IF($A22="","",COUNTIFS(Contracts!$A$5:$A$204,$A22))</f>
        <v/>
      </c>
      <c r="M22" s="14">
        <f>IF($A22="","",SUMIFS(Contracts!$C$5:$C$204,Contracts!$A$5:$A$204,$A22))</f>
        <v/>
      </c>
      <c r="N22" s="14">
        <f>IF($A22="","",SUMIFS(Spend!$E$5:$E$204,Spend!$B$5:$B$204,$A22))</f>
        <v/>
      </c>
      <c r="O22" s="15">
        <f>IF($A22="","",IFERROR($N22/$M22,0))</f>
        <v/>
      </c>
      <c r="P22" s="16">
        <f>IF($A22="","",COUNTIFS(Contracts!$A$5:$A$204,$A22,Contracts!$H$5:$H$204,"MISSED"))</f>
        <v/>
      </c>
      <c r="Q22" s="8" t="n"/>
    </row>
    <row r="23">
      <c r="A23" s="8" t="n"/>
      <c r="B23" s="8" t="n"/>
      <c r="C23" s="8" t="n"/>
      <c r="D23" s="8" t="n"/>
      <c r="E23" s="8" t="n"/>
      <c r="F23" s="8" t="n"/>
      <c r="G23" s="8" t="n"/>
      <c r="H23" s="18" t="n"/>
      <c r="I23" s="6" t="n"/>
      <c r="J23" s="6" t="n"/>
      <c r="K23" s="8" t="n"/>
      <c r="L23" s="16">
        <f>IF($A23="","",COUNTIFS(Contracts!$A$5:$A$204,$A23))</f>
        <v/>
      </c>
      <c r="M23" s="14">
        <f>IF($A23="","",SUMIFS(Contracts!$C$5:$C$204,Contracts!$A$5:$A$204,$A23))</f>
        <v/>
      </c>
      <c r="N23" s="14">
        <f>IF($A23="","",SUMIFS(Spend!$E$5:$E$204,Spend!$B$5:$B$204,$A23))</f>
        <v/>
      </c>
      <c r="O23" s="15">
        <f>IF($A23="","",IFERROR($N23/$M23,0))</f>
        <v/>
      </c>
      <c r="P23" s="16">
        <f>IF($A23="","",COUNTIFS(Contracts!$A$5:$A$204,$A23,Contracts!$H$5:$H$204,"MISSED"))</f>
        <v/>
      </c>
      <c r="Q23" s="8" t="n"/>
    </row>
    <row r="24">
      <c r="A24" s="8" t="n"/>
      <c r="B24" s="8" t="n"/>
      <c r="C24" s="8" t="n"/>
      <c r="D24" s="8" t="n"/>
      <c r="E24" s="8" t="n"/>
      <c r="F24" s="8" t="n"/>
      <c r="G24" s="8" t="n"/>
      <c r="H24" s="18" t="n"/>
      <c r="I24" s="6" t="n"/>
      <c r="J24" s="6" t="n"/>
      <c r="K24" s="8" t="n"/>
      <c r="L24" s="16">
        <f>IF($A24="","",COUNTIFS(Contracts!$A$5:$A$204,$A24))</f>
        <v/>
      </c>
      <c r="M24" s="14">
        <f>IF($A24="","",SUMIFS(Contracts!$C$5:$C$204,Contracts!$A$5:$A$204,$A24))</f>
        <v/>
      </c>
      <c r="N24" s="14">
        <f>IF($A24="","",SUMIFS(Spend!$E$5:$E$204,Spend!$B$5:$B$204,$A24))</f>
        <v/>
      </c>
      <c r="O24" s="15">
        <f>IF($A24="","",IFERROR($N24/$M24,0))</f>
        <v/>
      </c>
      <c r="P24" s="16">
        <f>IF($A24="","",COUNTIFS(Contracts!$A$5:$A$204,$A24,Contracts!$H$5:$H$204,"MISSED"))</f>
        <v/>
      </c>
      <c r="Q24" s="8" t="n"/>
    </row>
    <row r="25">
      <c r="A25" s="8" t="n"/>
      <c r="B25" s="8" t="n"/>
      <c r="C25" s="8" t="n"/>
      <c r="D25" s="8" t="n"/>
      <c r="E25" s="8" t="n"/>
      <c r="F25" s="8" t="n"/>
      <c r="G25" s="8" t="n"/>
      <c r="H25" s="18" t="n"/>
      <c r="I25" s="6" t="n"/>
      <c r="J25" s="6" t="n"/>
      <c r="K25" s="8" t="n"/>
      <c r="L25" s="16">
        <f>IF($A25="","",COUNTIFS(Contracts!$A$5:$A$204,$A25))</f>
        <v/>
      </c>
      <c r="M25" s="14">
        <f>IF($A25="","",SUMIFS(Contracts!$C$5:$C$204,Contracts!$A$5:$A$204,$A25))</f>
        <v/>
      </c>
      <c r="N25" s="14">
        <f>IF($A25="","",SUMIFS(Spend!$E$5:$E$204,Spend!$B$5:$B$204,$A25))</f>
        <v/>
      </c>
      <c r="O25" s="15">
        <f>IF($A25="","",IFERROR($N25/$M25,0))</f>
        <v/>
      </c>
      <c r="P25" s="16">
        <f>IF($A25="","",COUNTIFS(Contracts!$A$5:$A$204,$A25,Contracts!$H$5:$H$204,"MISSED"))</f>
        <v/>
      </c>
      <c r="Q25" s="8" t="n"/>
    </row>
    <row r="26">
      <c r="A26" s="8" t="n"/>
      <c r="B26" s="8" t="n"/>
      <c r="C26" s="8" t="n"/>
      <c r="D26" s="8" t="n"/>
      <c r="E26" s="8" t="n"/>
      <c r="F26" s="8" t="n"/>
      <c r="G26" s="8" t="n"/>
      <c r="H26" s="18" t="n"/>
      <c r="I26" s="6" t="n"/>
      <c r="J26" s="6" t="n"/>
      <c r="K26" s="8" t="n"/>
      <c r="L26" s="16">
        <f>IF($A26="","",COUNTIFS(Contracts!$A$5:$A$204,$A26))</f>
        <v/>
      </c>
      <c r="M26" s="14">
        <f>IF($A26="","",SUMIFS(Contracts!$C$5:$C$204,Contracts!$A$5:$A$204,$A26))</f>
        <v/>
      </c>
      <c r="N26" s="14">
        <f>IF($A26="","",SUMIFS(Spend!$E$5:$E$204,Spend!$B$5:$B$204,$A26))</f>
        <v/>
      </c>
      <c r="O26" s="15">
        <f>IF($A26="","",IFERROR($N26/$M26,0))</f>
        <v/>
      </c>
      <c r="P26" s="16">
        <f>IF($A26="","",COUNTIFS(Contracts!$A$5:$A$204,$A26,Contracts!$H$5:$H$204,"MISSED"))</f>
        <v/>
      </c>
      <c r="Q26" s="8" t="n"/>
    </row>
    <row r="27">
      <c r="A27" s="8" t="n"/>
      <c r="B27" s="8" t="n"/>
      <c r="C27" s="8" t="n"/>
      <c r="D27" s="8" t="n"/>
      <c r="E27" s="8" t="n"/>
      <c r="F27" s="8" t="n"/>
      <c r="G27" s="8" t="n"/>
      <c r="H27" s="18" t="n"/>
      <c r="I27" s="6" t="n"/>
      <c r="J27" s="6" t="n"/>
      <c r="K27" s="8" t="n"/>
      <c r="L27" s="16">
        <f>IF($A27="","",COUNTIFS(Contracts!$A$5:$A$204,$A27))</f>
        <v/>
      </c>
      <c r="M27" s="14">
        <f>IF($A27="","",SUMIFS(Contracts!$C$5:$C$204,Contracts!$A$5:$A$204,$A27))</f>
        <v/>
      </c>
      <c r="N27" s="14">
        <f>IF($A27="","",SUMIFS(Spend!$E$5:$E$204,Spend!$B$5:$B$204,$A27))</f>
        <v/>
      </c>
      <c r="O27" s="15">
        <f>IF($A27="","",IFERROR($N27/$M27,0))</f>
        <v/>
      </c>
      <c r="P27" s="16">
        <f>IF($A27="","",COUNTIFS(Contracts!$A$5:$A$204,$A27,Contracts!$H$5:$H$204,"MISSED"))</f>
        <v/>
      </c>
      <c r="Q27" s="8" t="n"/>
    </row>
    <row r="28">
      <c r="A28" s="8" t="n"/>
      <c r="B28" s="8" t="n"/>
      <c r="C28" s="8" t="n"/>
      <c r="D28" s="8" t="n"/>
      <c r="E28" s="8" t="n"/>
      <c r="F28" s="8" t="n"/>
      <c r="G28" s="8" t="n"/>
      <c r="H28" s="18" t="n"/>
      <c r="I28" s="6" t="n"/>
      <c r="J28" s="6" t="n"/>
      <c r="K28" s="8" t="n"/>
      <c r="L28" s="16">
        <f>IF($A28="","",COUNTIFS(Contracts!$A$5:$A$204,$A28))</f>
        <v/>
      </c>
      <c r="M28" s="14">
        <f>IF($A28="","",SUMIFS(Contracts!$C$5:$C$204,Contracts!$A$5:$A$204,$A28))</f>
        <v/>
      </c>
      <c r="N28" s="14">
        <f>IF($A28="","",SUMIFS(Spend!$E$5:$E$204,Spend!$B$5:$B$204,$A28))</f>
        <v/>
      </c>
      <c r="O28" s="15">
        <f>IF($A28="","",IFERROR($N28/$M28,0))</f>
        <v/>
      </c>
      <c r="P28" s="16">
        <f>IF($A28="","",COUNTIFS(Contracts!$A$5:$A$204,$A28,Contracts!$H$5:$H$204,"MISSED"))</f>
        <v/>
      </c>
      <c r="Q28" s="8" t="n"/>
    </row>
    <row r="29">
      <c r="A29" s="8" t="n"/>
      <c r="B29" s="8" t="n"/>
      <c r="C29" s="8" t="n"/>
      <c r="D29" s="8" t="n"/>
      <c r="E29" s="8" t="n"/>
      <c r="F29" s="8" t="n"/>
      <c r="G29" s="8" t="n"/>
      <c r="H29" s="18" t="n"/>
      <c r="I29" s="6" t="n"/>
      <c r="J29" s="6" t="n"/>
      <c r="K29" s="8" t="n"/>
      <c r="L29" s="16">
        <f>IF($A29="","",COUNTIFS(Contracts!$A$5:$A$204,$A29))</f>
        <v/>
      </c>
      <c r="M29" s="14">
        <f>IF($A29="","",SUMIFS(Contracts!$C$5:$C$204,Contracts!$A$5:$A$204,$A29))</f>
        <v/>
      </c>
      <c r="N29" s="14">
        <f>IF($A29="","",SUMIFS(Spend!$E$5:$E$204,Spend!$B$5:$B$204,$A29))</f>
        <v/>
      </c>
      <c r="O29" s="15">
        <f>IF($A29="","",IFERROR($N29/$M29,0))</f>
        <v/>
      </c>
      <c r="P29" s="16">
        <f>IF($A29="","",COUNTIFS(Contracts!$A$5:$A$204,$A29,Contracts!$H$5:$H$204,"MISSED"))</f>
        <v/>
      </c>
      <c r="Q29" s="8" t="n"/>
    </row>
    <row r="30">
      <c r="A30" s="8" t="n"/>
      <c r="B30" s="8" t="n"/>
      <c r="C30" s="8" t="n"/>
      <c r="D30" s="8" t="n"/>
      <c r="E30" s="8" t="n"/>
      <c r="F30" s="8" t="n"/>
      <c r="G30" s="8" t="n"/>
      <c r="H30" s="18" t="n"/>
      <c r="I30" s="6" t="n"/>
      <c r="J30" s="6" t="n"/>
      <c r="K30" s="8" t="n"/>
      <c r="L30" s="16">
        <f>IF($A30="","",COUNTIFS(Contracts!$A$5:$A$204,$A30))</f>
        <v/>
      </c>
      <c r="M30" s="14">
        <f>IF($A30="","",SUMIFS(Contracts!$C$5:$C$204,Contracts!$A$5:$A$204,$A30))</f>
        <v/>
      </c>
      <c r="N30" s="14">
        <f>IF($A30="","",SUMIFS(Spend!$E$5:$E$204,Spend!$B$5:$B$204,$A30))</f>
        <v/>
      </c>
      <c r="O30" s="15">
        <f>IF($A30="","",IFERROR($N30/$M30,0))</f>
        <v/>
      </c>
      <c r="P30" s="16">
        <f>IF($A30="","",COUNTIFS(Contracts!$A$5:$A$204,$A30,Contracts!$H$5:$H$204,"MISSED"))</f>
        <v/>
      </c>
      <c r="Q30" s="8" t="n"/>
    </row>
    <row r="31">
      <c r="A31" s="8" t="n"/>
      <c r="B31" s="8" t="n"/>
      <c r="C31" s="8" t="n"/>
      <c r="D31" s="8" t="n"/>
      <c r="E31" s="8" t="n"/>
      <c r="F31" s="8" t="n"/>
      <c r="G31" s="8" t="n"/>
      <c r="H31" s="18" t="n"/>
      <c r="I31" s="6" t="n"/>
      <c r="J31" s="6" t="n"/>
      <c r="K31" s="8" t="n"/>
      <c r="L31" s="16">
        <f>IF($A31="","",COUNTIFS(Contracts!$A$5:$A$204,$A31))</f>
        <v/>
      </c>
      <c r="M31" s="14">
        <f>IF($A31="","",SUMIFS(Contracts!$C$5:$C$204,Contracts!$A$5:$A$204,$A31))</f>
        <v/>
      </c>
      <c r="N31" s="14">
        <f>IF($A31="","",SUMIFS(Spend!$E$5:$E$204,Spend!$B$5:$B$204,$A31))</f>
        <v/>
      </c>
      <c r="O31" s="15">
        <f>IF($A31="","",IFERROR($N31/$M31,0))</f>
        <v/>
      </c>
      <c r="P31" s="16">
        <f>IF($A31="","",COUNTIFS(Contracts!$A$5:$A$204,$A31,Contracts!$H$5:$H$204,"MISSED"))</f>
        <v/>
      </c>
      <c r="Q31" s="8" t="n"/>
    </row>
    <row r="32">
      <c r="A32" s="8" t="n"/>
      <c r="B32" s="8" t="n"/>
      <c r="C32" s="8" t="n"/>
      <c r="D32" s="8" t="n"/>
      <c r="E32" s="8" t="n"/>
      <c r="F32" s="8" t="n"/>
      <c r="G32" s="8" t="n"/>
      <c r="H32" s="18" t="n"/>
      <c r="I32" s="6" t="n"/>
      <c r="J32" s="6" t="n"/>
      <c r="K32" s="8" t="n"/>
      <c r="L32" s="16">
        <f>IF($A32="","",COUNTIFS(Contracts!$A$5:$A$204,$A32))</f>
        <v/>
      </c>
      <c r="M32" s="14">
        <f>IF($A32="","",SUMIFS(Contracts!$C$5:$C$204,Contracts!$A$5:$A$204,$A32))</f>
        <v/>
      </c>
      <c r="N32" s="14">
        <f>IF($A32="","",SUMIFS(Spend!$E$5:$E$204,Spend!$B$5:$B$204,$A32))</f>
        <v/>
      </c>
      <c r="O32" s="15">
        <f>IF($A32="","",IFERROR($N32/$M32,0))</f>
        <v/>
      </c>
      <c r="P32" s="16">
        <f>IF($A32="","",COUNTIFS(Contracts!$A$5:$A$204,$A32,Contracts!$H$5:$H$204,"MISSED"))</f>
        <v/>
      </c>
      <c r="Q32" s="8" t="n"/>
    </row>
    <row r="33">
      <c r="A33" s="8" t="n"/>
      <c r="B33" s="8" t="n"/>
      <c r="C33" s="8" t="n"/>
      <c r="D33" s="8" t="n"/>
      <c r="E33" s="8" t="n"/>
      <c r="F33" s="8" t="n"/>
      <c r="G33" s="8" t="n"/>
      <c r="H33" s="18" t="n"/>
      <c r="I33" s="6" t="n"/>
      <c r="J33" s="6" t="n"/>
      <c r="K33" s="8" t="n"/>
      <c r="L33" s="16">
        <f>IF($A33="","",COUNTIFS(Contracts!$A$5:$A$204,$A33))</f>
        <v/>
      </c>
      <c r="M33" s="14">
        <f>IF($A33="","",SUMIFS(Contracts!$C$5:$C$204,Contracts!$A$5:$A$204,$A33))</f>
        <v/>
      </c>
      <c r="N33" s="14">
        <f>IF($A33="","",SUMIFS(Spend!$E$5:$E$204,Spend!$B$5:$B$204,$A33))</f>
        <v/>
      </c>
      <c r="O33" s="15">
        <f>IF($A33="","",IFERROR($N33/$M33,0))</f>
        <v/>
      </c>
      <c r="P33" s="16">
        <f>IF($A33="","",COUNTIFS(Contracts!$A$5:$A$204,$A33,Contracts!$H$5:$H$204,"MISSED"))</f>
        <v/>
      </c>
      <c r="Q33" s="8" t="n"/>
    </row>
    <row r="34">
      <c r="A34" s="8" t="n"/>
      <c r="B34" s="8" t="n"/>
      <c r="C34" s="8" t="n"/>
      <c r="D34" s="8" t="n"/>
      <c r="E34" s="8" t="n"/>
      <c r="F34" s="8" t="n"/>
      <c r="G34" s="8" t="n"/>
      <c r="H34" s="18" t="n"/>
      <c r="I34" s="6" t="n"/>
      <c r="J34" s="6" t="n"/>
      <c r="K34" s="8" t="n"/>
      <c r="L34" s="16">
        <f>IF($A34="","",COUNTIFS(Contracts!$A$5:$A$204,$A34))</f>
        <v/>
      </c>
      <c r="M34" s="14">
        <f>IF($A34="","",SUMIFS(Contracts!$C$5:$C$204,Contracts!$A$5:$A$204,$A34))</f>
        <v/>
      </c>
      <c r="N34" s="14">
        <f>IF($A34="","",SUMIFS(Spend!$E$5:$E$204,Spend!$B$5:$B$204,$A34))</f>
        <v/>
      </c>
      <c r="O34" s="15">
        <f>IF($A34="","",IFERROR($N34/$M34,0))</f>
        <v/>
      </c>
      <c r="P34" s="16">
        <f>IF($A34="","",COUNTIFS(Contracts!$A$5:$A$204,$A34,Contracts!$H$5:$H$204,"MISSED"))</f>
        <v/>
      </c>
      <c r="Q34" s="8" t="n"/>
    </row>
    <row r="35">
      <c r="A35" s="8" t="n"/>
      <c r="B35" s="8" t="n"/>
      <c r="C35" s="8" t="n"/>
      <c r="D35" s="8" t="n"/>
      <c r="E35" s="8" t="n"/>
      <c r="F35" s="8" t="n"/>
      <c r="G35" s="8" t="n"/>
      <c r="H35" s="18" t="n"/>
      <c r="I35" s="6" t="n"/>
      <c r="J35" s="6" t="n"/>
      <c r="K35" s="8" t="n"/>
      <c r="L35" s="16">
        <f>IF($A35="","",COUNTIFS(Contracts!$A$5:$A$204,$A35))</f>
        <v/>
      </c>
      <c r="M35" s="14">
        <f>IF($A35="","",SUMIFS(Contracts!$C$5:$C$204,Contracts!$A$5:$A$204,$A35))</f>
        <v/>
      </c>
      <c r="N35" s="14">
        <f>IF($A35="","",SUMIFS(Spend!$E$5:$E$204,Spend!$B$5:$B$204,$A35))</f>
        <v/>
      </c>
      <c r="O35" s="15">
        <f>IF($A35="","",IFERROR($N35/$M35,0))</f>
        <v/>
      </c>
      <c r="P35" s="16">
        <f>IF($A35="","",COUNTIFS(Contracts!$A$5:$A$204,$A35,Contracts!$H$5:$H$204,"MISSED"))</f>
        <v/>
      </c>
      <c r="Q35" s="8" t="n"/>
    </row>
    <row r="36">
      <c r="A36" s="8" t="n"/>
      <c r="B36" s="8" t="n"/>
      <c r="C36" s="8" t="n"/>
      <c r="D36" s="8" t="n"/>
      <c r="E36" s="8" t="n"/>
      <c r="F36" s="8" t="n"/>
      <c r="G36" s="8" t="n"/>
      <c r="H36" s="18" t="n"/>
      <c r="I36" s="6" t="n"/>
      <c r="J36" s="6" t="n"/>
      <c r="K36" s="8" t="n"/>
      <c r="L36" s="16">
        <f>IF($A36="","",COUNTIFS(Contracts!$A$5:$A$204,$A36))</f>
        <v/>
      </c>
      <c r="M36" s="14">
        <f>IF($A36="","",SUMIFS(Contracts!$C$5:$C$204,Contracts!$A$5:$A$204,$A36))</f>
        <v/>
      </c>
      <c r="N36" s="14">
        <f>IF($A36="","",SUMIFS(Spend!$E$5:$E$204,Spend!$B$5:$B$204,$A36))</f>
        <v/>
      </c>
      <c r="O36" s="15">
        <f>IF($A36="","",IFERROR($N36/$M36,0))</f>
        <v/>
      </c>
      <c r="P36" s="16">
        <f>IF($A36="","",COUNTIFS(Contracts!$A$5:$A$204,$A36,Contracts!$H$5:$H$204,"MISSED"))</f>
        <v/>
      </c>
      <c r="Q36" s="8" t="n"/>
    </row>
    <row r="37">
      <c r="A37" s="8" t="n"/>
      <c r="B37" s="8" t="n"/>
      <c r="C37" s="8" t="n"/>
      <c r="D37" s="8" t="n"/>
      <c r="E37" s="8" t="n"/>
      <c r="F37" s="8" t="n"/>
      <c r="G37" s="8" t="n"/>
      <c r="H37" s="18" t="n"/>
      <c r="I37" s="6" t="n"/>
      <c r="J37" s="6" t="n"/>
      <c r="K37" s="8" t="n"/>
      <c r="L37" s="16">
        <f>IF($A37="","",COUNTIFS(Contracts!$A$5:$A$204,$A37))</f>
        <v/>
      </c>
      <c r="M37" s="14">
        <f>IF($A37="","",SUMIFS(Contracts!$C$5:$C$204,Contracts!$A$5:$A$204,$A37))</f>
        <v/>
      </c>
      <c r="N37" s="14">
        <f>IF($A37="","",SUMIFS(Spend!$E$5:$E$204,Spend!$B$5:$B$204,$A37))</f>
        <v/>
      </c>
      <c r="O37" s="15">
        <f>IF($A37="","",IFERROR($N37/$M37,0))</f>
        <v/>
      </c>
      <c r="P37" s="16">
        <f>IF($A37="","",COUNTIFS(Contracts!$A$5:$A$204,$A37,Contracts!$H$5:$H$204,"MISSED"))</f>
        <v/>
      </c>
      <c r="Q37" s="8" t="n"/>
    </row>
    <row r="38">
      <c r="A38" s="8" t="n"/>
      <c r="B38" s="8" t="n"/>
      <c r="C38" s="8" t="n"/>
      <c r="D38" s="8" t="n"/>
      <c r="E38" s="8" t="n"/>
      <c r="F38" s="8" t="n"/>
      <c r="G38" s="8" t="n"/>
      <c r="H38" s="18" t="n"/>
      <c r="I38" s="6" t="n"/>
      <c r="J38" s="6" t="n"/>
      <c r="K38" s="8" t="n"/>
      <c r="L38" s="16">
        <f>IF($A38="","",COUNTIFS(Contracts!$A$5:$A$204,$A38))</f>
        <v/>
      </c>
      <c r="M38" s="14">
        <f>IF($A38="","",SUMIFS(Contracts!$C$5:$C$204,Contracts!$A$5:$A$204,$A38))</f>
        <v/>
      </c>
      <c r="N38" s="14">
        <f>IF($A38="","",SUMIFS(Spend!$E$5:$E$204,Spend!$B$5:$B$204,$A38))</f>
        <v/>
      </c>
      <c r="O38" s="15">
        <f>IF($A38="","",IFERROR($N38/$M38,0))</f>
        <v/>
      </c>
      <c r="P38" s="16">
        <f>IF($A38="","",COUNTIFS(Contracts!$A$5:$A$204,$A38,Contracts!$H$5:$H$204,"MISSED"))</f>
        <v/>
      </c>
      <c r="Q38" s="8" t="n"/>
    </row>
    <row r="39">
      <c r="A39" s="8" t="n"/>
      <c r="B39" s="8" t="n"/>
      <c r="C39" s="8" t="n"/>
      <c r="D39" s="8" t="n"/>
      <c r="E39" s="8" t="n"/>
      <c r="F39" s="8" t="n"/>
      <c r="G39" s="8" t="n"/>
      <c r="H39" s="18" t="n"/>
      <c r="I39" s="6" t="n"/>
      <c r="J39" s="6" t="n"/>
      <c r="K39" s="8" t="n"/>
      <c r="L39" s="16">
        <f>IF($A39="","",COUNTIFS(Contracts!$A$5:$A$204,$A39))</f>
        <v/>
      </c>
      <c r="M39" s="14">
        <f>IF($A39="","",SUMIFS(Contracts!$C$5:$C$204,Contracts!$A$5:$A$204,$A39))</f>
        <v/>
      </c>
      <c r="N39" s="14">
        <f>IF($A39="","",SUMIFS(Spend!$E$5:$E$204,Spend!$B$5:$B$204,$A39))</f>
        <v/>
      </c>
      <c r="O39" s="15">
        <f>IF($A39="","",IFERROR($N39/$M39,0))</f>
        <v/>
      </c>
      <c r="P39" s="16">
        <f>IF($A39="","",COUNTIFS(Contracts!$A$5:$A$204,$A39,Contracts!$H$5:$H$204,"MISSED"))</f>
        <v/>
      </c>
      <c r="Q39" s="8" t="n"/>
    </row>
    <row r="40">
      <c r="A40" s="8" t="n"/>
      <c r="B40" s="8" t="n"/>
      <c r="C40" s="8" t="n"/>
      <c r="D40" s="8" t="n"/>
      <c r="E40" s="8" t="n"/>
      <c r="F40" s="8" t="n"/>
      <c r="G40" s="8" t="n"/>
      <c r="H40" s="18" t="n"/>
      <c r="I40" s="6" t="n"/>
      <c r="J40" s="6" t="n"/>
      <c r="K40" s="8" t="n"/>
      <c r="L40" s="16">
        <f>IF($A40="","",COUNTIFS(Contracts!$A$5:$A$204,$A40))</f>
        <v/>
      </c>
      <c r="M40" s="14">
        <f>IF($A40="","",SUMIFS(Contracts!$C$5:$C$204,Contracts!$A$5:$A$204,$A40))</f>
        <v/>
      </c>
      <c r="N40" s="14">
        <f>IF($A40="","",SUMIFS(Spend!$E$5:$E$204,Spend!$B$5:$B$204,$A40))</f>
        <v/>
      </c>
      <c r="O40" s="15">
        <f>IF($A40="","",IFERROR($N40/$M40,0))</f>
        <v/>
      </c>
      <c r="P40" s="16">
        <f>IF($A40="","",COUNTIFS(Contracts!$A$5:$A$204,$A40,Contracts!$H$5:$H$204,"MISSED"))</f>
        <v/>
      </c>
      <c r="Q40" s="8" t="n"/>
    </row>
    <row r="41">
      <c r="A41" s="8" t="n"/>
      <c r="B41" s="8" t="n"/>
      <c r="C41" s="8" t="n"/>
      <c r="D41" s="8" t="n"/>
      <c r="E41" s="8" t="n"/>
      <c r="F41" s="8" t="n"/>
      <c r="G41" s="8" t="n"/>
      <c r="H41" s="18" t="n"/>
      <c r="I41" s="6" t="n"/>
      <c r="J41" s="6" t="n"/>
      <c r="K41" s="8" t="n"/>
      <c r="L41" s="16">
        <f>IF($A41="","",COUNTIFS(Contracts!$A$5:$A$204,$A41))</f>
        <v/>
      </c>
      <c r="M41" s="14">
        <f>IF($A41="","",SUMIFS(Contracts!$C$5:$C$204,Contracts!$A$5:$A$204,$A41))</f>
        <v/>
      </c>
      <c r="N41" s="14">
        <f>IF($A41="","",SUMIFS(Spend!$E$5:$E$204,Spend!$B$5:$B$204,$A41))</f>
        <v/>
      </c>
      <c r="O41" s="15">
        <f>IF($A41="","",IFERROR($N41/$M41,0))</f>
        <v/>
      </c>
      <c r="P41" s="16">
        <f>IF($A41="","",COUNTIFS(Contracts!$A$5:$A$204,$A41,Contracts!$H$5:$H$204,"MISSED"))</f>
        <v/>
      </c>
      <c r="Q41" s="8" t="n"/>
    </row>
    <row r="42">
      <c r="A42" s="8" t="n"/>
      <c r="B42" s="8" t="n"/>
      <c r="C42" s="8" t="n"/>
      <c r="D42" s="8" t="n"/>
      <c r="E42" s="8" t="n"/>
      <c r="F42" s="8" t="n"/>
      <c r="G42" s="8" t="n"/>
      <c r="H42" s="18" t="n"/>
      <c r="I42" s="6" t="n"/>
      <c r="J42" s="6" t="n"/>
      <c r="K42" s="8" t="n"/>
      <c r="L42" s="16">
        <f>IF($A42="","",COUNTIFS(Contracts!$A$5:$A$204,$A42))</f>
        <v/>
      </c>
      <c r="M42" s="14">
        <f>IF($A42="","",SUMIFS(Contracts!$C$5:$C$204,Contracts!$A$5:$A$204,$A42))</f>
        <v/>
      </c>
      <c r="N42" s="14">
        <f>IF($A42="","",SUMIFS(Spend!$E$5:$E$204,Spend!$B$5:$B$204,$A42))</f>
        <v/>
      </c>
      <c r="O42" s="15">
        <f>IF($A42="","",IFERROR($N42/$M42,0))</f>
        <v/>
      </c>
      <c r="P42" s="16">
        <f>IF($A42="","",COUNTIFS(Contracts!$A$5:$A$204,$A42,Contracts!$H$5:$H$204,"MISSED"))</f>
        <v/>
      </c>
      <c r="Q42" s="8" t="n"/>
    </row>
    <row r="43">
      <c r="A43" s="8" t="n"/>
      <c r="B43" s="8" t="n"/>
      <c r="C43" s="8" t="n"/>
      <c r="D43" s="8" t="n"/>
      <c r="E43" s="8" t="n"/>
      <c r="F43" s="8" t="n"/>
      <c r="G43" s="8" t="n"/>
      <c r="H43" s="18" t="n"/>
      <c r="I43" s="6" t="n"/>
      <c r="J43" s="6" t="n"/>
      <c r="K43" s="8" t="n"/>
      <c r="L43" s="16">
        <f>IF($A43="","",COUNTIFS(Contracts!$A$5:$A$204,$A43))</f>
        <v/>
      </c>
      <c r="M43" s="14">
        <f>IF($A43="","",SUMIFS(Contracts!$C$5:$C$204,Contracts!$A$5:$A$204,$A43))</f>
        <v/>
      </c>
      <c r="N43" s="14">
        <f>IF($A43="","",SUMIFS(Spend!$E$5:$E$204,Spend!$B$5:$B$204,$A43))</f>
        <v/>
      </c>
      <c r="O43" s="15">
        <f>IF($A43="","",IFERROR($N43/$M43,0))</f>
        <v/>
      </c>
      <c r="P43" s="16">
        <f>IF($A43="","",COUNTIFS(Contracts!$A$5:$A$204,$A43,Contracts!$H$5:$H$204,"MISSED"))</f>
        <v/>
      </c>
      <c r="Q43" s="8" t="n"/>
    </row>
    <row r="44">
      <c r="A44" s="8" t="n"/>
      <c r="B44" s="8" t="n"/>
      <c r="C44" s="8" t="n"/>
      <c r="D44" s="8" t="n"/>
      <c r="E44" s="8" t="n"/>
      <c r="F44" s="8" t="n"/>
      <c r="G44" s="8" t="n"/>
      <c r="H44" s="18" t="n"/>
      <c r="I44" s="6" t="n"/>
      <c r="J44" s="6" t="n"/>
      <c r="K44" s="8" t="n"/>
      <c r="L44" s="16">
        <f>IF($A44="","",COUNTIFS(Contracts!$A$5:$A$204,$A44))</f>
        <v/>
      </c>
      <c r="M44" s="14">
        <f>IF($A44="","",SUMIFS(Contracts!$C$5:$C$204,Contracts!$A$5:$A$204,$A44))</f>
        <v/>
      </c>
      <c r="N44" s="14">
        <f>IF($A44="","",SUMIFS(Spend!$E$5:$E$204,Spend!$B$5:$B$204,$A44))</f>
        <v/>
      </c>
      <c r="O44" s="15">
        <f>IF($A44="","",IFERROR($N44/$M44,0))</f>
        <v/>
      </c>
      <c r="P44" s="16">
        <f>IF($A44="","",COUNTIFS(Contracts!$A$5:$A$204,$A44,Contracts!$H$5:$H$204,"MISSED"))</f>
        <v/>
      </c>
      <c r="Q44" s="8" t="n"/>
    </row>
    <row r="45">
      <c r="A45" s="8" t="n"/>
      <c r="B45" s="8" t="n"/>
      <c r="C45" s="8" t="n"/>
      <c r="D45" s="8" t="n"/>
      <c r="E45" s="8" t="n"/>
      <c r="F45" s="8" t="n"/>
      <c r="G45" s="8" t="n"/>
      <c r="H45" s="18" t="n"/>
      <c r="I45" s="6" t="n"/>
      <c r="J45" s="6" t="n"/>
      <c r="K45" s="8" t="n"/>
      <c r="L45" s="16">
        <f>IF($A45="","",COUNTIFS(Contracts!$A$5:$A$204,$A45))</f>
        <v/>
      </c>
      <c r="M45" s="14">
        <f>IF($A45="","",SUMIFS(Contracts!$C$5:$C$204,Contracts!$A$5:$A$204,$A45))</f>
        <v/>
      </c>
      <c r="N45" s="14">
        <f>IF($A45="","",SUMIFS(Spend!$E$5:$E$204,Spend!$B$5:$B$204,$A45))</f>
        <v/>
      </c>
      <c r="O45" s="15">
        <f>IF($A45="","",IFERROR($N45/$M45,0))</f>
        <v/>
      </c>
      <c r="P45" s="16">
        <f>IF($A45="","",COUNTIFS(Contracts!$A$5:$A$204,$A45,Contracts!$H$5:$H$204,"MISSED"))</f>
        <v/>
      </c>
      <c r="Q45" s="8" t="n"/>
    </row>
    <row r="46">
      <c r="A46" s="8" t="n"/>
      <c r="B46" s="8" t="n"/>
      <c r="C46" s="8" t="n"/>
      <c r="D46" s="8" t="n"/>
      <c r="E46" s="8" t="n"/>
      <c r="F46" s="8" t="n"/>
      <c r="G46" s="8" t="n"/>
      <c r="H46" s="18" t="n"/>
      <c r="I46" s="6" t="n"/>
      <c r="J46" s="6" t="n"/>
      <c r="K46" s="8" t="n"/>
      <c r="L46" s="16">
        <f>IF($A46="","",COUNTIFS(Contracts!$A$5:$A$204,$A46))</f>
        <v/>
      </c>
      <c r="M46" s="14">
        <f>IF($A46="","",SUMIFS(Contracts!$C$5:$C$204,Contracts!$A$5:$A$204,$A46))</f>
        <v/>
      </c>
      <c r="N46" s="14">
        <f>IF($A46="","",SUMIFS(Spend!$E$5:$E$204,Spend!$B$5:$B$204,$A46))</f>
        <v/>
      </c>
      <c r="O46" s="15">
        <f>IF($A46="","",IFERROR($N46/$M46,0))</f>
        <v/>
      </c>
      <c r="P46" s="16">
        <f>IF($A46="","",COUNTIFS(Contracts!$A$5:$A$204,$A46,Contracts!$H$5:$H$204,"MISSED"))</f>
        <v/>
      </c>
      <c r="Q46" s="8" t="n"/>
    </row>
    <row r="47">
      <c r="A47" s="8" t="n"/>
      <c r="B47" s="8" t="n"/>
      <c r="C47" s="8" t="n"/>
      <c r="D47" s="8" t="n"/>
      <c r="E47" s="8" t="n"/>
      <c r="F47" s="8" t="n"/>
      <c r="G47" s="8" t="n"/>
      <c r="H47" s="18" t="n"/>
      <c r="I47" s="6" t="n"/>
      <c r="J47" s="6" t="n"/>
      <c r="K47" s="8" t="n"/>
      <c r="L47" s="16">
        <f>IF($A47="","",COUNTIFS(Contracts!$A$5:$A$204,$A47))</f>
        <v/>
      </c>
      <c r="M47" s="14">
        <f>IF($A47="","",SUMIFS(Contracts!$C$5:$C$204,Contracts!$A$5:$A$204,$A47))</f>
        <v/>
      </c>
      <c r="N47" s="14">
        <f>IF($A47="","",SUMIFS(Spend!$E$5:$E$204,Spend!$B$5:$B$204,$A47))</f>
        <v/>
      </c>
      <c r="O47" s="15">
        <f>IF($A47="","",IFERROR($N47/$M47,0))</f>
        <v/>
      </c>
      <c r="P47" s="16">
        <f>IF($A47="","",COUNTIFS(Contracts!$A$5:$A$204,$A47,Contracts!$H$5:$H$204,"MISSED"))</f>
        <v/>
      </c>
      <c r="Q47" s="8" t="n"/>
    </row>
    <row r="48">
      <c r="A48" s="8" t="n"/>
      <c r="B48" s="8" t="n"/>
      <c r="C48" s="8" t="n"/>
      <c r="D48" s="8" t="n"/>
      <c r="E48" s="8" t="n"/>
      <c r="F48" s="8" t="n"/>
      <c r="G48" s="8" t="n"/>
      <c r="H48" s="18" t="n"/>
      <c r="I48" s="6" t="n"/>
      <c r="J48" s="6" t="n"/>
      <c r="K48" s="8" t="n"/>
      <c r="L48" s="16">
        <f>IF($A48="","",COUNTIFS(Contracts!$A$5:$A$204,$A48))</f>
        <v/>
      </c>
      <c r="M48" s="14">
        <f>IF($A48="","",SUMIFS(Contracts!$C$5:$C$204,Contracts!$A$5:$A$204,$A48))</f>
        <v/>
      </c>
      <c r="N48" s="14">
        <f>IF($A48="","",SUMIFS(Spend!$E$5:$E$204,Spend!$B$5:$B$204,$A48))</f>
        <v/>
      </c>
      <c r="O48" s="15">
        <f>IF($A48="","",IFERROR($N48/$M48,0))</f>
        <v/>
      </c>
      <c r="P48" s="16">
        <f>IF($A48="","",COUNTIFS(Contracts!$A$5:$A$204,$A48,Contracts!$H$5:$H$204,"MISSED"))</f>
        <v/>
      </c>
      <c r="Q48" s="8" t="n"/>
    </row>
    <row r="49">
      <c r="A49" s="8" t="n"/>
      <c r="B49" s="8" t="n"/>
      <c r="C49" s="8" t="n"/>
      <c r="D49" s="8" t="n"/>
      <c r="E49" s="8" t="n"/>
      <c r="F49" s="8" t="n"/>
      <c r="G49" s="8" t="n"/>
      <c r="H49" s="18" t="n"/>
      <c r="I49" s="6" t="n"/>
      <c r="J49" s="6" t="n"/>
      <c r="K49" s="8" t="n"/>
      <c r="L49" s="16">
        <f>IF($A49="","",COUNTIFS(Contracts!$A$5:$A$204,$A49))</f>
        <v/>
      </c>
      <c r="M49" s="14">
        <f>IF($A49="","",SUMIFS(Contracts!$C$5:$C$204,Contracts!$A$5:$A$204,$A49))</f>
        <v/>
      </c>
      <c r="N49" s="14">
        <f>IF($A49="","",SUMIFS(Spend!$E$5:$E$204,Spend!$B$5:$B$204,$A49))</f>
        <v/>
      </c>
      <c r="O49" s="15">
        <f>IF($A49="","",IFERROR($N49/$M49,0))</f>
        <v/>
      </c>
      <c r="P49" s="16">
        <f>IF($A49="","",COUNTIFS(Contracts!$A$5:$A$204,$A49,Contracts!$H$5:$H$204,"MISSED"))</f>
        <v/>
      </c>
      <c r="Q49" s="8" t="n"/>
    </row>
    <row r="50">
      <c r="A50" s="8" t="n"/>
      <c r="B50" s="8" t="n"/>
      <c r="C50" s="8" t="n"/>
      <c r="D50" s="8" t="n"/>
      <c r="E50" s="8" t="n"/>
      <c r="F50" s="8" t="n"/>
      <c r="G50" s="8" t="n"/>
      <c r="H50" s="18" t="n"/>
      <c r="I50" s="6" t="n"/>
      <c r="J50" s="6" t="n"/>
      <c r="K50" s="8" t="n"/>
      <c r="L50" s="16">
        <f>IF($A50="","",COUNTIFS(Contracts!$A$5:$A$204,$A50))</f>
        <v/>
      </c>
      <c r="M50" s="14">
        <f>IF($A50="","",SUMIFS(Contracts!$C$5:$C$204,Contracts!$A$5:$A$204,$A50))</f>
        <v/>
      </c>
      <c r="N50" s="14">
        <f>IF($A50="","",SUMIFS(Spend!$E$5:$E$204,Spend!$B$5:$B$204,$A50))</f>
        <v/>
      </c>
      <c r="O50" s="15">
        <f>IF($A50="","",IFERROR($N50/$M50,0))</f>
        <v/>
      </c>
      <c r="P50" s="16">
        <f>IF($A50="","",COUNTIFS(Contracts!$A$5:$A$204,$A50,Contracts!$H$5:$H$204,"MISSED"))</f>
        <v/>
      </c>
      <c r="Q50" s="8" t="n"/>
    </row>
    <row r="51">
      <c r="A51" s="8" t="n"/>
      <c r="B51" s="8" t="n"/>
      <c r="C51" s="8" t="n"/>
      <c r="D51" s="8" t="n"/>
      <c r="E51" s="8" t="n"/>
      <c r="F51" s="8" t="n"/>
      <c r="G51" s="8" t="n"/>
      <c r="H51" s="18" t="n"/>
      <c r="I51" s="6" t="n"/>
      <c r="J51" s="6" t="n"/>
      <c r="K51" s="8" t="n"/>
      <c r="L51" s="16">
        <f>IF($A51="","",COUNTIFS(Contracts!$A$5:$A$204,$A51))</f>
        <v/>
      </c>
      <c r="M51" s="14">
        <f>IF($A51="","",SUMIFS(Contracts!$C$5:$C$204,Contracts!$A$5:$A$204,$A51))</f>
        <v/>
      </c>
      <c r="N51" s="14">
        <f>IF($A51="","",SUMIFS(Spend!$E$5:$E$204,Spend!$B$5:$B$204,$A51))</f>
        <v/>
      </c>
      <c r="O51" s="15">
        <f>IF($A51="","",IFERROR($N51/$M51,0))</f>
        <v/>
      </c>
      <c r="P51" s="16">
        <f>IF($A51="","",COUNTIFS(Contracts!$A$5:$A$204,$A51,Contracts!$H$5:$H$204,"MISSED"))</f>
        <v/>
      </c>
      <c r="Q51" s="8" t="n"/>
    </row>
    <row r="52">
      <c r="A52" s="8" t="n"/>
      <c r="B52" s="8" t="n"/>
      <c r="C52" s="8" t="n"/>
      <c r="D52" s="8" t="n"/>
      <c r="E52" s="8" t="n"/>
      <c r="F52" s="8" t="n"/>
      <c r="G52" s="8" t="n"/>
      <c r="H52" s="18" t="n"/>
      <c r="I52" s="6" t="n"/>
      <c r="J52" s="6" t="n"/>
      <c r="K52" s="8" t="n"/>
      <c r="L52" s="16">
        <f>IF($A52="","",COUNTIFS(Contracts!$A$5:$A$204,$A52))</f>
        <v/>
      </c>
      <c r="M52" s="14">
        <f>IF($A52="","",SUMIFS(Contracts!$C$5:$C$204,Contracts!$A$5:$A$204,$A52))</f>
        <v/>
      </c>
      <c r="N52" s="14">
        <f>IF($A52="","",SUMIFS(Spend!$E$5:$E$204,Spend!$B$5:$B$204,$A52))</f>
        <v/>
      </c>
      <c r="O52" s="15">
        <f>IF($A52="","",IFERROR($N52/$M52,0))</f>
        <v/>
      </c>
      <c r="P52" s="16">
        <f>IF($A52="","",COUNTIFS(Contracts!$A$5:$A$204,$A52,Contracts!$H$5:$H$204,"MISSED"))</f>
        <v/>
      </c>
      <c r="Q52" s="8" t="n"/>
    </row>
    <row r="53">
      <c r="A53" s="8" t="n"/>
      <c r="B53" s="8" t="n"/>
      <c r="C53" s="8" t="n"/>
      <c r="D53" s="8" t="n"/>
      <c r="E53" s="8" t="n"/>
      <c r="F53" s="8" t="n"/>
      <c r="G53" s="8" t="n"/>
      <c r="H53" s="18" t="n"/>
      <c r="I53" s="6" t="n"/>
      <c r="J53" s="6" t="n"/>
      <c r="K53" s="8" t="n"/>
      <c r="L53" s="16">
        <f>IF($A53="","",COUNTIFS(Contracts!$A$5:$A$204,$A53))</f>
        <v/>
      </c>
      <c r="M53" s="14">
        <f>IF($A53="","",SUMIFS(Contracts!$C$5:$C$204,Contracts!$A$5:$A$204,$A53))</f>
        <v/>
      </c>
      <c r="N53" s="14">
        <f>IF($A53="","",SUMIFS(Spend!$E$5:$E$204,Spend!$B$5:$B$204,$A53))</f>
        <v/>
      </c>
      <c r="O53" s="15">
        <f>IF($A53="","",IFERROR($N53/$M53,0))</f>
        <v/>
      </c>
      <c r="P53" s="16">
        <f>IF($A53="","",COUNTIFS(Contracts!$A$5:$A$204,$A53,Contracts!$H$5:$H$204,"MISSED"))</f>
        <v/>
      </c>
      <c r="Q53" s="8" t="n"/>
    </row>
    <row r="54">
      <c r="A54" s="8" t="n"/>
      <c r="B54" s="8" t="n"/>
      <c r="C54" s="8" t="n"/>
      <c r="D54" s="8" t="n"/>
      <c r="E54" s="8" t="n"/>
      <c r="F54" s="8" t="n"/>
      <c r="G54" s="8" t="n"/>
      <c r="H54" s="18" t="n"/>
      <c r="I54" s="6" t="n"/>
      <c r="J54" s="6" t="n"/>
      <c r="K54" s="8" t="n"/>
      <c r="L54" s="16">
        <f>IF($A54="","",COUNTIFS(Contracts!$A$5:$A$204,$A54))</f>
        <v/>
      </c>
      <c r="M54" s="14">
        <f>IF($A54="","",SUMIFS(Contracts!$C$5:$C$204,Contracts!$A$5:$A$204,$A54))</f>
        <v/>
      </c>
      <c r="N54" s="14">
        <f>IF($A54="","",SUMIFS(Spend!$E$5:$E$204,Spend!$B$5:$B$204,$A54))</f>
        <v/>
      </c>
      <c r="O54" s="15">
        <f>IF($A54="","",IFERROR($N54/$M54,0))</f>
        <v/>
      </c>
      <c r="P54" s="16">
        <f>IF($A54="","",COUNTIFS(Contracts!$A$5:$A$204,$A54,Contracts!$H$5:$H$204,"MISSED"))</f>
        <v/>
      </c>
      <c r="Q54" s="8" t="n"/>
    </row>
    <row r="55">
      <c r="A55" s="8" t="n"/>
      <c r="B55" s="8" t="n"/>
      <c r="C55" s="8" t="n"/>
      <c r="D55" s="8" t="n"/>
      <c r="E55" s="8" t="n"/>
      <c r="F55" s="8" t="n"/>
      <c r="G55" s="8" t="n"/>
      <c r="H55" s="18" t="n"/>
      <c r="I55" s="6" t="n"/>
      <c r="J55" s="6" t="n"/>
      <c r="K55" s="8" t="n"/>
      <c r="L55" s="16">
        <f>IF($A55="","",COUNTIFS(Contracts!$A$5:$A$204,$A55))</f>
        <v/>
      </c>
      <c r="M55" s="14">
        <f>IF($A55="","",SUMIFS(Contracts!$C$5:$C$204,Contracts!$A$5:$A$204,$A55))</f>
        <v/>
      </c>
      <c r="N55" s="14">
        <f>IF($A55="","",SUMIFS(Spend!$E$5:$E$204,Spend!$B$5:$B$204,$A55))</f>
        <v/>
      </c>
      <c r="O55" s="15">
        <f>IF($A55="","",IFERROR($N55/$M55,0))</f>
        <v/>
      </c>
      <c r="P55" s="16">
        <f>IF($A55="","",COUNTIFS(Contracts!$A$5:$A$204,$A55,Contracts!$H$5:$H$204,"MISSED"))</f>
        <v/>
      </c>
      <c r="Q55" s="8" t="n"/>
    </row>
    <row r="56">
      <c r="A56" s="8" t="n"/>
      <c r="B56" s="8" t="n"/>
      <c r="C56" s="8" t="n"/>
      <c r="D56" s="8" t="n"/>
      <c r="E56" s="8" t="n"/>
      <c r="F56" s="8" t="n"/>
      <c r="G56" s="8" t="n"/>
      <c r="H56" s="18" t="n"/>
      <c r="I56" s="6" t="n"/>
      <c r="J56" s="6" t="n"/>
      <c r="K56" s="8" t="n"/>
      <c r="L56" s="16">
        <f>IF($A56="","",COUNTIFS(Contracts!$A$5:$A$204,$A56))</f>
        <v/>
      </c>
      <c r="M56" s="14">
        <f>IF($A56="","",SUMIFS(Contracts!$C$5:$C$204,Contracts!$A$5:$A$204,$A56))</f>
        <v/>
      </c>
      <c r="N56" s="14">
        <f>IF($A56="","",SUMIFS(Spend!$E$5:$E$204,Spend!$B$5:$B$204,$A56))</f>
        <v/>
      </c>
      <c r="O56" s="15">
        <f>IF($A56="","",IFERROR($N56/$M56,0))</f>
        <v/>
      </c>
      <c r="P56" s="16">
        <f>IF($A56="","",COUNTIFS(Contracts!$A$5:$A$204,$A56,Contracts!$H$5:$H$204,"MISSED"))</f>
        <v/>
      </c>
      <c r="Q56" s="8" t="n"/>
    </row>
    <row r="57">
      <c r="A57" s="8" t="n"/>
      <c r="B57" s="8" t="n"/>
      <c r="C57" s="8" t="n"/>
      <c r="D57" s="8" t="n"/>
      <c r="E57" s="8" t="n"/>
      <c r="F57" s="8" t="n"/>
      <c r="G57" s="8" t="n"/>
      <c r="H57" s="18" t="n"/>
      <c r="I57" s="6" t="n"/>
      <c r="J57" s="6" t="n"/>
      <c r="K57" s="8" t="n"/>
      <c r="L57" s="16">
        <f>IF($A57="","",COUNTIFS(Contracts!$A$5:$A$204,$A57))</f>
        <v/>
      </c>
      <c r="M57" s="14">
        <f>IF($A57="","",SUMIFS(Contracts!$C$5:$C$204,Contracts!$A$5:$A$204,$A57))</f>
        <v/>
      </c>
      <c r="N57" s="14">
        <f>IF($A57="","",SUMIFS(Spend!$E$5:$E$204,Spend!$B$5:$B$204,$A57))</f>
        <v/>
      </c>
      <c r="O57" s="15">
        <f>IF($A57="","",IFERROR($N57/$M57,0))</f>
        <v/>
      </c>
      <c r="P57" s="16">
        <f>IF($A57="","",COUNTIFS(Contracts!$A$5:$A$204,$A57,Contracts!$H$5:$H$204,"MISSED"))</f>
        <v/>
      </c>
      <c r="Q57" s="8" t="n"/>
    </row>
    <row r="58">
      <c r="A58" s="8" t="n"/>
      <c r="B58" s="8" t="n"/>
      <c r="C58" s="8" t="n"/>
      <c r="D58" s="8" t="n"/>
      <c r="E58" s="8" t="n"/>
      <c r="F58" s="8" t="n"/>
      <c r="G58" s="8" t="n"/>
      <c r="H58" s="18" t="n"/>
      <c r="I58" s="6" t="n"/>
      <c r="J58" s="6" t="n"/>
      <c r="K58" s="8" t="n"/>
      <c r="L58" s="16">
        <f>IF($A58="","",COUNTIFS(Contracts!$A$5:$A$204,$A58))</f>
        <v/>
      </c>
      <c r="M58" s="14">
        <f>IF($A58="","",SUMIFS(Contracts!$C$5:$C$204,Contracts!$A$5:$A$204,$A58))</f>
        <v/>
      </c>
      <c r="N58" s="14">
        <f>IF($A58="","",SUMIFS(Spend!$E$5:$E$204,Spend!$B$5:$B$204,$A58))</f>
        <v/>
      </c>
      <c r="O58" s="15">
        <f>IF($A58="","",IFERROR($N58/$M58,0))</f>
        <v/>
      </c>
      <c r="P58" s="16">
        <f>IF($A58="","",COUNTIFS(Contracts!$A$5:$A$204,$A58,Contracts!$H$5:$H$204,"MISSED"))</f>
        <v/>
      </c>
      <c r="Q58" s="8" t="n"/>
    </row>
    <row r="59">
      <c r="A59" s="8" t="n"/>
      <c r="B59" s="8" t="n"/>
      <c r="C59" s="8" t="n"/>
      <c r="D59" s="8" t="n"/>
      <c r="E59" s="8" t="n"/>
      <c r="F59" s="8" t="n"/>
      <c r="G59" s="8" t="n"/>
      <c r="H59" s="18" t="n"/>
      <c r="I59" s="6" t="n"/>
      <c r="J59" s="6" t="n"/>
      <c r="K59" s="8" t="n"/>
      <c r="L59" s="16">
        <f>IF($A59="","",COUNTIFS(Contracts!$A$5:$A$204,$A59))</f>
        <v/>
      </c>
      <c r="M59" s="14">
        <f>IF($A59="","",SUMIFS(Contracts!$C$5:$C$204,Contracts!$A$5:$A$204,$A59))</f>
        <v/>
      </c>
      <c r="N59" s="14">
        <f>IF($A59="","",SUMIFS(Spend!$E$5:$E$204,Spend!$B$5:$B$204,$A59))</f>
        <v/>
      </c>
      <c r="O59" s="15">
        <f>IF($A59="","",IFERROR($N59/$M59,0))</f>
        <v/>
      </c>
      <c r="P59" s="16">
        <f>IF($A59="","",COUNTIFS(Contracts!$A$5:$A$204,$A59,Contracts!$H$5:$H$204,"MISSED"))</f>
        <v/>
      </c>
      <c r="Q59" s="8" t="n"/>
    </row>
    <row r="60">
      <c r="A60" s="8" t="n"/>
      <c r="B60" s="8" t="n"/>
      <c r="C60" s="8" t="n"/>
      <c r="D60" s="8" t="n"/>
      <c r="E60" s="8" t="n"/>
      <c r="F60" s="8" t="n"/>
      <c r="G60" s="8" t="n"/>
      <c r="H60" s="18" t="n"/>
      <c r="I60" s="6" t="n"/>
      <c r="J60" s="6" t="n"/>
      <c r="K60" s="8" t="n"/>
      <c r="L60" s="16">
        <f>IF($A60="","",COUNTIFS(Contracts!$A$5:$A$204,$A60))</f>
        <v/>
      </c>
      <c r="M60" s="14">
        <f>IF($A60="","",SUMIFS(Contracts!$C$5:$C$204,Contracts!$A$5:$A$204,$A60))</f>
        <v/>
      </c>
      <c r="N60" s="14">
        <f>IF($A60="","",SUMIFS(Spend!$E$5:$E$204,Spend!$B$5:$B$204,$A60))</f>
        <v/>
      </c>
      <c r="O60" s="15">
        <f>IF($A60="","",IFERROR($N60/$M60,0))</f>
        <v/>
      </c>
      <c r="P60" s="16">
        <f>IF($A60="","",COUNTIFS(Contracts!$A$5:$A$204,$A60,Contracts!$H$5:$H$204,"MISSED"))</f>
        <v/>
      </c>
      <c r="Q60" s="8" t="n"/>
    </row>
    <row r="61">
      <c r="A61" s="8" t="n"/>
      <c r="B61" s="8" t="n"/>
      <c r="C61" s="8" t="n"/>
      <c r="D61" s="8" t="n"/>
      <c r="E61" s="8" t="n"/>
      <c r="F61" s="8" t="n"/>
      <c r="G61" s="8" t="n"/>
      <c r="H61" s="18" t="n"/>
      <c r="I61" s="6" t="n"/>
      <c r="J61" s="6" t="n"/>
      <c r="K61" s="8" t="n"/>
      <c r="L61" s="16">
        <f>IF($A61="","",COUNTIFS(Contracts!$A$5:$A$204,$A61))</f>
        <v/>
      </c>
      <c r="M61" s="14">
        <f>IF($A61="","",SUMIFS(Contracts!$C$5:$C$204,Contracts!$A$5:$A$204,$A61))</f>
        <v/>
      </c>
      <c r="N61" s="14">
        <f>IF($A61="","",SUMIFS(Spend!$E$5:$E$204,Spend!$B$5:$B$204,$A61))</f>
        <v/>
      </c>
      <c r="O61" s="15">
        <f>IF($A61="","",IFERROR($N61/$M61,0))</f>
        <v/>
      </c>
      <c r="P61" s="16">
        <f>IF($A61="","",COUNTIFS(Contracts!$A$5:$A$204,$A61,Contracts!$H$5:$H$204,"MISSED"))</f>
        <v/>
      </c>
      <c r="Q61" s="8" t="n"/>
    </row>
    <row r="62">
      <c r="A62" s="8" t="n"/>
      <c r="B62" s="8" t="n"/>
      <c r="C62" s="8" t="n"/>
      <c r="D62" s="8" t="n"/>
      <c r="E62" s="8" t="n"/>
      <c r="F62" s="8" t="n"/>
      <c r="G62" s="8" t="n"/>
      <c r="H62" s="18" t="n"/>
      <c r="I62" s="6" t="n"/>
      <c r="J62" s="6" t="n"/>
      <c r="K62" s="8" t="n"/>
      <c r="L62" s="16">
        <f>IF($A62="","",COUNTIFS(Contracts!$A$5:$A$204,$A62))</f>
        <v/>
      </c>
      <c r="M62" s="14">
        <f>IF($A62="","",SUMIFS(Contracts!$C$5:$C$204,Contracts!$A$5:$A$204,$A62))</f>
        <v/>
      </c>
      <c r="N62" s="14">
        <f>IF($A62="","",SUMIFS(Spend!$E$5:$E$204,Spend!$B$5:$B$204,$A62))</f>
        <v/>
      </c>
      <c r="O62" s="15">
        <f>IF($A62="","",IFERROR($N62/$M62,0))</f>
        <v/>
      </c>
      <c r="P62" s="16">
        <f>IF($A62="","",COUNTIFS(Contracts!$A$5:$A$204,$A62,Contracts!$H$5:$H$204,"MISSED"))</f>
        <v/>
      </c>
      <c r="Q62" s="8" t="n"/>
    </row>
    <row r="63">
      <c r="A63" s="8" t="n"/>
      <c r="B63" s="8" t="n"/>
      <c r="C63" s="8" t="n"/>
      <c r="D63" s="8" t="n"/>
      <c r="E63" s="8" t="n"/>
      <c r="F63" s="8" t="n"/>
      <c r="G63" s="8" t="n"/>
      <c r="H63" s="18" t="n"/>
      <c r="I63" s="6" t="n"/>
      <c r="J63" s="6" t="n"/>
      <c r="K63" s="8" t="n"/>
      <c r="L63" s="16">
        <f>IF($A63="","",COUNTIFS(Contracts!$A$5:$A$204,$A63))</f>
        <v/>
      </c>
      <c r="M63" s="14">
        <f>IF($A63="","",SUMIFS(Contracts!$C$5:$C$204,Contracts!$A$5:$A$204,$A63))</f>
        <v/>
      </c>
      <c r="N63" s="14">
        <f>IF($A63="","",SUMIFS(Spend!$E$5:$E$204,Spend!$B$5:$B$204,$A63))</f>
        <v/>
      </c>
      <c r="O63" s="15">
        <f>IF($A63="","",IFERROR($N63/$M63,0))</f>
        <v/>
      </c>
      <c r="P63" s="16">
        <f>IF($A63="","",COUNTIFS(Contracts!$A$5:$A$204,$A63,Contracts!$H$5:$H$204,"MISSED"))</f>
        <v/>
      </c>
      <c r="Q63" s="8" t="n"/>
    </row>
    <row r="64">
      <c r="A64" s="8" t="n"/>
      <c r="B64" s="8" t="n"/>
      <c r="C64" s="8" t="n"/>
      <c r="D64" s="8" t="n"/>
      <c r="E64" s="8" t="n"/>
      <c r="F64" s="8" t="n"/>
      <c r="G64" s="8" t="n"/>
      <c r="H64" s="18" t="n"/>
      <c r="I64" s="6" t="n"/>
      <c r="J64" s="6" t="n"/>
      <c r="K64" s="8" t="n"/>
      <c r="L64" s="16">
        <f>IF($A64="","",COUNTIFS(Contracts!$A$5:$A$204,$A64))</f>
        <v/>
      </c>
      <c r="M64" s="14">
        <f>IF($A64="","",SUMIFS(Contracts!$C$5:$C$204,Contracts!$A$5:$A$204,$A64))</f>
        <v/>
      </c>
      <c r="N64" s="14">
        <f>IF($A64="","",SUMIFS(Spend!$E$5:$E$204,Spend!$B$5:$B$204,$A64))</f>
        <v/>
      </c>
      <c r="O64" s="15">
        <f>IF($A64="","",IFERROR($N64/$M64,0))</f>
        <v/>
      </c>
      <c r="P64" s="16">
        <f>IF($A64="","",COUNTIFS(Contracts!$A$5:$A$204,$A64,Contracts!$H$5:$H$204,"MISSED"))</f>
        <v/>
      </c>
      <c r="Q64" s="8" t="n"/>
    </row>
    <row r="65">
      <c r="A65" s="8" t="n"/>
      <c r="B65" s="8" t="n"/>
      <c r="C65" s="8" t="n"/>
      <c r="D65" s="8" t="n"/>
      <c r="E65" s="8" t="n"/>
      <c r="F65" s="8" t="n"/>
      <c r="G65" s="8" t="n"/>
      <c r="H65" s="18" t="n"/>
      <c r="I65" s="6" t="n"/>
      <c r="J65" s="6" t="n"/>
      <c r="K65" s="8" t="n"/>
      <c r="L65" s="16">
        <f>IF($A65="","",COUNTIFS(Contracts!$A$5:$A$204,$A65))</f>
        <v/>
      </c>
      <c r="M65" s="14">
        <f>IF($A65="","",SUMIFS(Contracts!$C$5:$C$204,Contracts!$A$5:$A$204,$A65))</f>
        <v/>
      </c>
      <c r="N65" s="14">
        <f>IF($A65="","",SUMIFS(Spend!$E$5:$E$204,Spend!$B$5:$B$204,$A65))</f>
        <v/>
      </c>
      <c r="O65" s="15">
        <f>IF($A65="","",IFERROR($N65/$M65,0))</f>
        <v/>
      </c>
      <c r="P65" s="16">
        <f>IF($A65="","",COUNTIFS(Contracts!$A$5:$A$204,$A65,Contracts!$H$5:$H$204,"MISSED"))</f>
        <v/>
      </c>
      <c r="Q65" s="8" t="n"/>
    </row>
    <row r="66">
      <c r="A66" s="8" t="n"/>
      <c r="B66" s="8" t="n"/>
      <c r="C66" s="8" t="n"/>
      <c r="D66" s="8" t="n"/>
      <c r="E66" s="8" t="n"/>
      <c r="F66" s="8" t="n"/>
      <c r="G66" s="8" t="n"/>
      <c r="H66" s="18" t="n"/>
      <c r="I66" s="6" t="n"/>
      <c r="J66" s="6" t="n"/>
      <c r="K66" s="8" t="n"/>
      <c r="L66" s="16">
        <f>IF($A66="","",COUNTIFS(Contracts!$A$5:$A$204,$A66))</f>
        <v/>
      </c>
      <c r="M66" s="14">
        <f>IF($A66="","",SUMIFS(Contracts!$C$5:$C$204,Contracts!$A$5:$A$204,$A66))</f>
        <v/>
      </c>
      <c r="N66" s="14">
        <f>IF($A66="","",SUMIFS(Spend!$E$5:$E$204,Spend!$B$5:$B$204,$A66))</f>
        <v/>
      </c>
      <c r="O66" s="15">
        <f>IF($A66="","",IFERROR($N66/$M66,0))</f>
        <v/>
      </c>
      <c r="P66" s="16">
        <f>IF($A66="","",COUNTIFS(Contracts!$A$5:$A$204,$A66,Contracts!$H$5:$H$204,"MISSED"))</f>
        <v/>
      </c>
      <c r="Q66" s="8" t="n"/>
    </row>
    <row r="67">
      <c r="A67" s="8" t="n"/>
      <c r="B67" s="8" t="n"/>
      <c r="C67" s="8" t="n"/>
      <c r="D67" s="8" t="n"/>
      <c r="E67" s="8" t="n"/>
      <c r="F67" s="8" t="n"/>
      <c r="G67" s="8" t="n"/>
      <c r="H67" s="18" t="n"/>
      <c r="I67" s="6" t="n"/>
      <c r="J67" s="6" t="n"/>
      <c r="K67" s="8" t="n"/>
      <c r="L67" s="16">
        <f>IF($A67="","",COUNTIFS(Contracts!$A$5:$A$204,$A67))</f>
        <v/>
      </c>
      <c r="M67" s="14">
        <f>IF($A67="","",SUMIFS(Contracts!$C$5:$C$204,Contracts!$A$5:$A$204,$A67))</f>
        <v/>
      </c>
      <c r="N67" s="14">
        <f>IF($A67="","",SUMIFS(Spend!$E$5:$E$204,Spend!$B$5:$B$204,$A67))</f>
        <v/>
      </c>
      <c r="O67" s="15">
        <f>IF($A67="","",IFERROR($N67/$M67,0))</f>
        <v/>
      </c>
      <c r="P67" s="16">
        <f>IF($A67="","",COUNTIFS(Contracts!$A$5:$A$204,$A67,Contracts!$H$5:$H$204,"MISSED"))</f>
        <v/>
      </c>
      <c r="Q67" s="8" t="n"/>
    </row>
    <row r="68">
      <c r="A68" s="8" t="n"/>
      <c r="B68" s="8" t="n"/>
      <c r="C68" s="8" t="n"/>
      <c r="D68" s="8" t="n"/>
      <c r="E68" s="8" t="n"/>
      <c r="F68" s="8" t="n"/>
      <c r="G68" s="8" t="n"/>
      <c r="H68" s="18" t="n"/>
      <c r="I68" s="6" t="n"/>
      <c r="J68" s="6" t="n"/>
      <c r="K68" s="8" t="n"/>
      <c r="L68" s="16">
        <f>IF($A68="","",COUNTIFS(Contracts!$A$5:$A$204,$A68))</f>
        <v/>
      </c>
      <c r="M68" s="14">
        <f>IF($A68="","",SUMIFS(Contracts!$C$5:$C$204,Contracts!$A$5:$A$204,$A68))</f>
        <v/>
      </c>
      <c r="N68" s="14">
        <f>IF($A68="","",SUMIFS(Spend!$E$5:$E$204,Spend!$B$5:$B$204,$A68))</f>
        <v/>
      </c>
      <c r="O68" s="15">
        <f>IF($A68="","",IFERROR($N68/$M68,0))</f>
        <v/>
      </c>
      <c r="P68" s="16">
        <f>IF($A68="","",COUNTIFS(Contracts!$A$5:$A$204,$A68,Contracts!$H$5:$H$204,"MISSED"))</f>
        <v/>
      </c>
      <c r="Q68" s="8" t="n"/>
    </row>
    <row r="69">
      <c r="A69" s="8" t="n"/>
      <c r="B69" s="8" t="n"/>
      <c r="C69" s="8" t="n"/>
      <c r="D69" s="8" t="n"/>
      <c r="E69" s="8" t="n"/>
      <c r="F69" s="8" t="n"/>
      <c r="G69" s="8" t="n"/>
      <c r="H69" s="18" t="n"/>
      <c r="I69" s="6" t="n"/>
      <c r="J69" s="6" t="n"/>
      <c r="K69" s="8" t="n"/>
      <c r="L69" s="16">
        <f>IF($A69="","",COUNTIFS(Contracts!$A$5:$A$204,$A69))</f>
        <v/>
      </c>
      <c r="M69" s="14">
        <f>IF($A69="","",SUMIFS(Contracts!$C$5:$C$204,Contracts!$A$5:$A$204,$A69))</f>
        <v/>
      </c>
      <c r="N69" s="14">
        <f>IF($A69="","",SUMIFS(Spend!$E$5:$E$204,Spend!$B$5:$B$204,$A69))</f>
        <v/>
      </c>
      <c r="O69" s="15">
        <f>IF($A69="","",IFERROR($N69/$M69,0))</f>
        <v/>
      </c>
      <c r="P69" s="16">
        <f>IF($A69="","",COUNTIFS(Contracts!$A$5:$A$204,$A69,Contracts!$H$5:$H$204,"MISSED"))</f>
        <v/>
      </c>
      <c r="Q69" s="8" t="n"/>
    </row>
    <row r="70">
      <c r="A70" s="8" t="n"/>
      <c r="B70" s="8" t="n"/>
      <c r="C70" s="8" t="n"/>
      <c r="D70" s="8" t="n"/>
      <c r="E70" s="8" t="n"/>
      <c r="F70" s="8" t="n"/>
      <c r="G70" s="8" t="n"/>
      <c r="H70" s="18" t="n"/>
      <c r="I70" s="6" t="n"/>
      <c r="J70" s="6" t="n"/>
      <c r="K70" s="8" t="n"/>
      <c r="L70" s="16">
        <f>IF($A70="","",COUNTIFS(Contracts!$A$5:$A$204,$A70))</f>
        <v/>
      </c>
      <c r="M70" s="14">
        <f>IF($A70="","",SUMIFS(Contracts!$C$5:$C$204,Contracts!$A$5:$A$204,$A70))</f>
        <v/>
      </c>
      <c r="N70" s="14">
        <f>IF($A70="","",SUMIFS(Spend!$E$5:$E$204,Spend!$B$5:$B$204,$A70))</f>
        <v/>
      </c>
      <c r="O70" s="15">
        <f>IF($A70="","",IFERROR($N70/$M70,0))</f>
        <v/>
      </c>
      <c r="P70" s="16">
        <f>IF($A70="","",COUNTIFS(Contracts!$A$5:$A$204,$A70,Contracts!$H$5:$H$204,"MISSED"))</f>
        <v/>
      </c>
      <c r="Q70" s="8" t="n"/>
    </row>
    <row r="71">
      <c r="A71" s="8" t="n"/>
      <c r="B71" s="8" t="n"/>
      <c r="C71" s="8" t="n"/>
      <c r="D71" s="8" t="n"/>
      <c r="E71" s="8" t="n"/>
      <c r="F71" s="8" t="n"/>
      <c r="G71" s="8" t="n"/>
      <c r="H71" s="18" t="n"/>
      <c r="I71" s="6" t="n"/>
      <c r="J71" s="6" t="n"/>
      <c r="K71" s="8" t="n"/>
      <c r="L71" s="16">
        <f>IF($A71="","",COUNTIFS(Contracts!$A$5:$A$204,$A71))</f>
        <v/>
      </c>
      <c r="M71" s="14">
        <f>IF($A71="","",SUMIFS(Contracts!$C$5:$C$204,Contracts!$A$5:$A$204,$A71))</f>
        <v/>
      </c>
      <c r="N71" s="14">
        <f>IF($A71="","",SUMIFS(Spend!$E$5:$E$204,Spend!$B$5:$B$204,$A71))</f>
        <v/>
      </c>
      <c r="O71" s="15">
        <f>IF($A71="","",IFERROR($N71/$M71,0))</f>
        <v/>
      </c>
      <c r="P71" s="16">
        <f>IF($A71="","",COUNTIFS(Contracts!$A$5:$A$204,$A71,Contracts!$H$5:$H$204,"MISSED"))</f>
        <v/>
      </c>
      <c r="Q71" s="8" t="n"/>
    </row>
    <row r="72">
      <c r="A72" s="8" t="n"/>
      <c r="B72" s="8" t="n"/>
      <c r="C72" s="8" t="n"/>
      <c r="D72" s="8" t="n"/>
      <c r="E72" s="8" t="n"/>
      <c r="F72" s="8" t="n"/>
      <c r="G72" s="8" t="n"/>
      <c r="H72" s="18" t="n"/>
      <c r="I72" s="6" t="n"/>
      <c r="J72" s="6" t="n"/>
      <c r="K72" s="8" t="n"/>
      <c r="L72" s="16">
        <f>IF($A72="","",COUNTIFS(Contracts!$A$5:$A$204,$A72))</f>
        <v/>
      </c>
      <c r="M72" s="14">
        <f>IF($A72="","",SUMIFS(Contracts!$C$5:$C$204,Contracts!$A$5:$A$204,$A72))</f>
        <v/>
      </c>
      <c r="N72" s="14">
        <f>IF($A72="","",SUMIFS(Spend!$E$5:$E$204,Spend!$B$5:$B$204,$A72))</f>
        <v/>
      </c>
      <c r="O72" s="15">
        <f>IF($A72="","",IFERROR($N72/$M72,0))</f>
        <v/>
      </c>
      <c r="P72" s="16">
        <f>IF($A72="","",COUNTIFS(Contracts!$A$5:$A$204,$A72,Contracts!$H$5:$H$204,"MISSED"))</f>
        <v/>
      </c>
      <c r="Q72" s="8" t="n"/>
    </row>
    <row r="73">
      <c r="A73" s="8" t="n"/>
      <c r="B73" s="8" t="n"/>
      <c r="C73" s="8" t="n"/>
      <c r="D73" s="8" t="n"/>
      <c r="E73" s="8" t="n"/>
      <c r="F73" s="8" t="n"/>
      <c r="G73" s="8" t="n"/>
      <c r="H73" s="18" t="n"/>
      <c r="I73" s="6" t="n"/>
      <c r="J73" s="6" t="n"/>
      <c r="K73" s="8" t="n"/>
      <c r="L73" s="16">
        <f>IF($A73="","",COUNTIFS(Contracts!$A$5:$A$204,$A73))</f>
        <v/>
      </c>
      <c r="M73" s="14">
        <f>IF($A73="","",SUMIFS(Contracts!$C$5:$C$204,Contracts!$A$5:$A$204,$A73))</f>
        <v/>
      </c>
      <c r="N73" s="14">
        <f>IF($A73="","",SUMIFS(Spend!$E$5:$E$204,Spend!$B$5:$B$204,$A73))</f>
        <v/>
      </c>
      <c r="O73" s="15">
        <f>IF($A73="","",IFERROR($N73/$M73,0))</f>
        <v/>
      </c>
      <c r="P73" s="16">
        <f>IF($A73="","",COUNTIFS(Contracts!$A$5:$A$204,$A73,Contracts!$H$5:$H$204,"MISSED"))</f>
        <v/>
      </c>
      <c r="Q73" s="8" t="n"/>
    </row>
    <row r="74">
      <c r="A74" s="8" t="n"/>
      <c r="B74" s="8" t="n"/>
      <c r="C74" s="8" t="n"/>
      <c r="D74" s="8" t="n"/>
      <c r="E74" s="8" t="n"/>
      <c r="F74" s="8" t="n"/>
      <c r="G74" s="8" t="n"/>
      <c r="H74" s="18" t="n"/>
      <c r="I74" s="6" t="n"/>
      <c r="J74" s="6" t="n"/>
      <c r="K74" s="8" t="n"/>
      <c r="L74" s="16">
        <f>IF($A74="","",COUNTIFS(Contracts!$A$5:$A$204,$A74))</f>
        <v/>
      </c>
      <c r="M74" s="14">
        <f>IF($A74="","",SUMIFS(Contracts!$C$5:$C$204,Contracts!$A$5:$A$204,$A74))</f>
        <v/>
      </c>
      <c r="N74" s="14">
        <f>IF($A74="","",SUMIFS(Spend!$E$5:$E$204,Spend!$B$5:$B$204,$A74))</f>
        <v/>
      </c>
      <c r="O74" s="15">
        <f>IF($A74="","",IFERROR($N74/$M74,0))</f>
        <v/>
      </c>
      <c r="P74" s="16">
        <f>IF($A74="","",COUNTIFS(Contracts!$A$5:$A$204,$A74,Contracts!$H$5:$H$204,"MISSED"))</f>
        <v/>
      </c>
      <c r="Q74" s="8" t="n"/>
    </row>
    <row r="75">
      <c r="A75" s="8" t="n"/>
      <c r="B75" s="8" t="n"/>
      <c r="C75" s="8" t="n"/>
      <c r="D75" s="8" t="n"/>
      <c r="E75" s="8" t="n"/>
      <c r="F75" s="8" t="n"/>
      <c r="G75" s="8" t="n"/>
      <c r="H75" s="18" t="n"/>
      <c r="I75" s="6" t="n"/>
      <c r="J75" s="6" t="n"/>
      <c r="K75" s="8" t="n"/>
      <c r="L75" s="16">
        <f>IF($A75="","",COUNTIFS(Contracts!$A$5:$A$204,$A75))</f>
        <v/>
      </c>
      <c r="M75" s="14">
        <f>IF($A75="","",SUMIFS(Contracts!$C$5:$C$204,Contracts!$A$5:$A$204,$A75))</f>
        <v/>
      </c>
      <c r="N75" s="14">
        <f>IF($A75="","",SUMIFS(Spend!$E$5:$E$204,Spend!$B$5:$B$204,$A75))</f>
        <v/>
      </c>
      <c r="O75" s="15">
        <f>IF($A75="","",IFERROR($N75/$M75,0))</f>
        <v/>
      </c>
      <c r="P75" s="16">
        <f>IF($A75="","",COUNTIFS(Contracts!$A$5:$A$204,$A75,Contracts!$H$5:$H$204,"MISSED"))</f>
        <v/>
      </c>
      <c r="Q75" s="8" t="n"/>
    </row>
    <row r="76">
      <c r="A76" s="8" t="n"/>
      <c r="B76" s="8" t="n"/>
      <c r="C76" s="8" t="n"/>
      <c r="D76" s="8" t="n"/>
      <c r="E76" s="8" t="n"/>
      <c r="F76" s="8" t="n"/>
      <c r="G76" s="8" t="n"/>
      <c r="H76" s="18" t="n"/>
      <c r="I76" s="6" t="n"/>
      <c r="J76" s="6" t="n"/>
      <c r="K76" s="8" t="n"/>
      <c r="L76" s="16">
        <f>IF($A76="","",COUNTIFS(Contracts!$A$5:$A$204,$A76))</f>
        <v/>
      </c>
      <c r="M76" s="14">
        <f>IF($A76="","",SUMIFS(Contracts!$C$5:$C$204,Contracts!$A$5:$A$204,$A76))</f>
        <v/>
      </c>
      <c r="N76" s="14">
        <f>IF($A76="","",SUMIFS(Spend!$E$5:$E$204,Spend!$B$5:$B$204,$A76))</f>
        <v/>
      </c>
      <c r="O76" s="15">
        <f>IF($A76="","",IFERROR($N76/$M76,0))</f>
        <v/>
      </c>
      <c r="P76" s="16">
        <f>IF($A76="","",COUNTIFS(Contracts!$A$5:$A$204,$A76,Contracts!$H$5:$H$204,"MISSED"))</f>
        <v/>
      </c>
      <c r="Q76" s="8" t="n"/>
    </row>
    <row r="77">
      <c r="A77" s="8" t="n"/>
      <c r="B77" s="8" t="n"/>
      <c r="C77" s="8" t="n"/>
      <c r="D77" s="8" t="n"/>
      <c r="E77" s="8" t="n"/>
      <c r="F77" s="8" t="n"/>
      <c r="G77" s="8" t="n"/>
      <c r="H77" s="18" t="n"/>
      <c r="I77" s="6" t="n"/>
      <c r="J77" s="6" t="n"/>
      <c r="K77" s="8" t="n"/>
      <c r="L77" s="16">
        <f>IF($A77="","",COUNTIFS(Contracts!$A$5:$A$204,$A77))</f>
        <v/>
      </c>
      <c r="M77" s="14">
        <f>IF($A77="","",SUMIFS(Contracts!$C$5:$C$204,Contracts!$A$5:$A$204,$A77))</f>
        <v/>
      </c>
      <c r="N77" s="14">
        <f>IF($A77="","",SUMIFS(Spend!$E$5:$E$204,Spend!$B$5:$B$204,$A77))</f>
        <v/>
      </c>
      <c r="O77" s="15">
        <f>IF($A77="","",IFERROR($N77/$M77,0))</f>
        <v/>
      </c>
      <c r="P77" s="16">
        <f>IF($A77="","",COUNTIFS(Contracts!$A$5:$A$204,$A77,Contracts!$H$5:$H$204,"MISSED"))</f>
        <v/>
      </c>
      <c r="Q77" s="8" t="n"/>
    </row>
    <row r="78">
      <c r="A78" s="8" t="n"/>
      <c r="B78" s="8" t="n"/>
      <c r="C78" s="8" t="n"/>
      <c r="D78" s="8" t="n"/>
      <c r="E78" s="8" t="n"/>
      <c r="F78" s="8" t="n"/>
      <c r="G78" s="8" t="n"/>
      <c r="H78" s="18" t="n"/>
      <c r="I78" s="6" t="n"/>
      <c r="J78" s="6" t="n"/>
      <c r="K78" s="8" t="n"/>
      <c r="L78" s="16">
        <f>IF($A78="","",COUNTIFS(Contracts!$A$5:$A$204,$A78))</f>
        <v/>
      </c>
      <c r="M78" s="14">
        <f>IF($A78="","",SUMIFS(Contracts!$C$5:$C$204,Contracts!$A$5:$A$204,$A78))</f>
        <v/>
      </c>
      <c r="N78" s="14">
        <f>IF($A78="","",SUMIFS(Spend!$E$5:$E$204,Spend!$B$5:$B$204,$A78))</f>
        <v/>
      </c>
      <c r="O78" s="15">
        <f>IF($A78="","",IFERROR($N78/$M78,0))</f>
        <v/>
      </c>
      <c r="P78" s="16">
        <f>IF($A78="","",COUNTIFS(Contracts!$A$5:$A$204,$A78,Contracts!$H$5:$H$204,"MISSED"))</f>
        <v/>
      </c>
      <c r="Q78" s="8" t="n"/>
    </row>
    <row r="79">
      <c r="A79" s="8" t="n"/>
      <c r="B79" s="8" t="n"/>
      <c r="C79" s="8" t="n"/>
      <c r="D79" s="8" t="n"/>
      <c r="E79" s="8" t="n"/>
      <c r="F79" s="8" t="n"/>
      <c r="G79" s="8" t="n"/>
      <c r="H79" s="18" t="n"/>
      <c r="I79" s="6" t="n"/>
      <c r="J79" s="6" t="n"/>
      <c r="K79" s="8" t="n"/>
      <c r="L79" s="16">
        <f>IF($A79="","",COUNTIFS(Contracts!$A$5:$A$204,$A79))</f>
        <v/>
      </c>
      <c r="M79" s="14">
        <f>IF($A79="","",SUMIFS(Contracts!$C$5:$C$204,Contracts!$A$5:$A$204,$A79))</f>
        <v/>
      </c>
      <c r="N79" s="14">
        <f>IF($A79="","",SUMIFS(Spend!$E$5:$E$204,Spend!$B$5:$B$204,$A79))</f>
        <v/>
      </c>
      <c r="O79" s="15">
        <f>IF($A79="","",IFERROR($N79/$M79,0))</f>
        <v/>
      </c>
      <c r="P79" s="16">
        <f>IF($A79="","",COUNTIFS(Contracts!$A$5:$A$204,$A79,Contracts!$H$5:$H$204,"MISSED"))</f>
        <v/>
      </c>
      <c r="Q79" s="8" t="n"/>
    </row>
    <row r="80">
      <c r="A80" s="8" t="n"/>
      <c r="B80" s="8" t="n"/>
      <c r="C80" s="8" t="n"/>
      <c r="D80" s="8" t="n"/>
      <c r="E80" s="8" t="n"/>
      <c r="F80" s="8" t="n"/>
      <c r="G80" s="8" t="n"/>
      <c r="H80" s="18" t="n"/>
      <c r="I80" s="6" t="n"/>
      <c r="J80" s="6" t="n"/>
      <c r="K80" s="8" t="n"/>
      <c r="L80" s="16">
        <f>IF($A80="","",COUNTIFS(Contracts!$A$5:$A$204,$A80))</f>
        <v/>
      </c>
      <c r="M80" s="14">
        <f>IF($A80="","",SUMIFS(Contracts!$C$5:$C$204,Contracts!$A$5:$A$204,$A80))</f>
        <v/>
      </c>
      <c r="N80" s="14">
        <f>IF($A80="","",SUMIFS(Spend!$E$5:$E$204,Spend!$B$5:$B$204,$A80))</f>
        <v/>
      </c>
      <c r="O80" s="15">
        <f>IF($A80="","",IFERROR($N80/$M80,0))</f>
        <v/>
      </c>
      <c r="P80" s="16">
        <f>IF($A80="","",COUNTIFS(Contracts!$A$5:$A$204,$A80,Contracts!$H$5:$H$204,"MISSED"))</f>
        <v/>
      </c>
      <c r="Q80" s="8" t="n"/>
    </row>
    <row r="81">
      <c r="A81" s="8" t="n"/>
      <c r="B81" s="8" t="n"/>
      <c r="C81" s="8" t="n"/>
      <c r="D81" s="8" t="n"/>
      <c r="E81" s="8" t="n"/>
      <c r="F81" s="8" t="n"/>
      <c r="G81" s="8" t="n"/>
      <c r="H81" s="18" t="n"/>
      <c r="I81" s="6" t="n"/>
      <c r="J81" s="6" t="n"/>
      <c r="K81" s="8" t="n"/>
      <c r="L81" s="16">
        <f>IF($A81="","",COUNTIFS(Contracts!$A$5:$A$204,$A81))</f>
        <v/>
      </c>
      <c r="M81" s="14">
        <f>IF($A81="","",SUMIFS(Contracts!$C$5:$C$204,Contracts!$A$5:$A$204,$A81))</f>
        <v/>
      </c>
      <c r="N81" s="14">
        <f>IF($A81="","",SUMIFS(Spend!$E$5:$E$204,Spend!$B$5:$B$204,$A81))</f>
        <v/>
      </c>
      <c r="O81" s="15">
        <f>IF($A81="","",IFERROR($N81/$M81,0))</f>
        <v/>
      </c>
      <c r="P81" s="16">
        <f>IF($A81="","",COUNTIFS(Contracts!$A$5:$A$204,$A81,Contracts!$H$5:$H$204,"MISSED"))</f>
        <v/>
      </c>
      <c r="Q81" s="8" t="n"/>
    </row>
    <row r="82">
      <c r="A82" s="8" t="n"/>
      <c r="B82" s="8" t="n"/>
      <c r="C82" s="8" t="n"/>
      <c r="D82" s="8" t="n"/>
      <c r="E82" s="8" t="n"/>
      <c r="F82" s="8" t="n"/>
      <c r="G82" s="8" t="n"/>
      <c r="H82" s="18" t="n"/>
      <c r="I82" s="6" t="n"/>
      <c r="J82" s="6" t="n"/>
      <c r="K82" s="8" t="n"/>
      <c r="L82" s="16">
        <f>IF($A82="","",COUNTIFS(Contracts!$A$5:$A$204,$A82))</f>
        <v/>
      </c>
      <c r="M82" s="14">
        <f>IF($A82="","",SUMIFS(Contracts!$C$5:$C$204,Contracts!$A$5:$A$204,$A82))</f>
        <v/>
      </c>
      <c r="N82" s="14">
        <f>IF($A82="","",SUMIFS(Spend!$E$5:$E$204,Spend!$B$5:$B$204,$A82))</f>
        <v/>
      </c>
      <c r="O82" s="15">
        <f>IF($A82="","",IFERROR($N82/$M82,0))</f>
        <v/>
      </c>
      <c r="P82" s="16">
        <f>IF($A82="","",COUNTIFS(Contracts!$A$5:$A$204,$A82,Contracts!$H$5:$H$204,"MISSED"))</f>
        <v/>
      </c>
      <c r="Q82" s="8" t="n"/>
    </row>
    <row r="83">
      <c r="A83" s="8" t="n"/>
      <c r="B83" s="8" t="n"/>
      <c r="C83" s="8" t="n"/>
      <c r="D83" s="8" t="n"/>
      <c r="E83" s="8" t="n"/>
      <c r="F83" s="8" t="n"/>
      <c r="G83" s="8" t="n"/>
      <c r="H83" s="18" t="n"/>
      <c r="I83" s="6" t="n"/>
      <c r="J83" s="6" t="n"/>
      <c r="K83" s="8" t="n"/>
      <c r="L83" s="16">
        <f>IF($A83="","",COUNTIFS(Contracts!$A$5:$A$204,$A83))</f>
        <v/>
      </c>
      <c r="M83" s="14">
        <f>IF($A83="","",SUMIFS(Contracts!$C$5:$C$204,Contracts!$A$5:$A$204,$A83))</f>
        <v/>
      </c>
      <c r="N83" s="14">
        <f>IF($A83="","",SUMIFS(Spend!$E$5:$E$204,Spend!$B$5:$B$204,$A83))</f>
        <v/>
      </c>
      <c r="O83" s="15">
        <f>IF($A83="","",IFERROR($N83/$M83,0))</f>
        <v/>
      </c>
      <c r="P83" s="16">
        <f>IF($A83="","",COUNTIFS(Contracts!$A$5:$A$204,$A83,Contracts!$H$5:$H$204,"MISSED"))</f>
        <v/>
      </c>
      <c r="Q83" s="8" t="n"/>
    </row>
    <row r="84">
      <c r="A84" s="8" t="n"/>
      <c r="B84" s="8" t="n"/>
      <c r="C84" s="8" t="n"/>
      <c r="D84" s="8" t="n"/>
      <c r="E84" s="8" t="n"/>
      <c r="F84" s="8" t="n"/>
      <c r="G84" s="8" t="n"/>
      <c r="H84" s="18" t="n"/>
      <c r="I84" s="6" t="n"/>
      <c r="J84" s="6" t="n"/>
      <c r="K84" s="8" t="n"/>
      <c r="L84" s="16">
        <f>IF($A84="","",COUNTIFS(Contracts!$A$5:$A$204,$A84))</f>
        <v/>
      </c>
      <c r="M84" s="14">
        <f>IF($A84="","",SUMIFS(Contracts!$C$5:$C$204,Contracts!$A$5:$A$204,$A84))</f>
        <v/>
      </c>
      <c r="N84" s="14">
        <f>IF($A84="","",SUMIFS(Spend!$E$5:$E$204,Spend!$B$5:$B$204,$A84))</f>
        <v/>
      </c>
      <c r="O84" s="15">
        <f>IF($A84="","",IFERROR($N84/$M84,0))</f>
        <v/>
      </c>
      <c r="P84" s="16">
        <f>IF($A84="","",COUNTIFS(Contracts!$A$5:$A$204,$A84,Contracts!$H$5:$H$204,"MISSED"))</f>
        <v/>
      </c>
      <c r="Q84" s="8" t="n"/>
    </row>
    <row r="85">
      <c r="A85" s="8" t="n"/>
      <c r="B85" s="8" t="n"/>
      <c r="C85" s="8" t="n"/>
      <c r="D85" s="8" t="n"/>
      <c r="E85" s="8" t="n"/>
      <c r="F85" s="8" t="n"/>
      <c r="G85" s="8" t="n"/>
      <c r="H85" s="18" t="n"/>
      <c r="I85" s="6" t="n"/>
      <c r="J85" s="6" t="n"/>
      <c r="K85" s="8" t="n"/>
      <c r="L85" s="16">
        <f>IF($A85="","",COUNTIFS(Contracts!$A$5:$A$204,$A85))</f>
        <v/>
      </c>
      <c r="M85" s="14">
        <f>IF($A85="","",SUMIFS(Contracts!$C$5:$C$204,Contracts!$A$5:$A$204,$A85))</f>
        <v/>
      </c>
      <c r="N85" s="14">
        <f>IF($A85="","",SUMIFS(Spend!$E$5:$E$204,Spend!$B$5:$B$204,$A85))</f>
        <v/>
      </c>
      <c r="O85" s="15">
        <f>IF($A85="","",IFERROR($N85/$M85,0))</f>
        <v/>
      </c>
      <c r="P85" s="16">
        <f>IF($A85="","",COUNTIFS(Contracts!$A$5:$A$204,$A85,Contracts!$H$5:$H$204,"MISSED"))</f>
        <v/>
      </c>
      <c r="Q85" s="8" t="n"/>
    </row>
    <row r="86">
      <c r="A86" s="8" t="n"/>
      <c r="B86" s="8" t="n"/>
      <c r="C86" s="8" t="n"/>
      <c r="D86" s="8" t="n"/>
      <c r="E86" s="8" t="n"/>
      <c r="F86" s="8" t="n"/>
      <c r="G86" s="8" t="n"/>
      <c r="H86" s="18" t="n"/>
      <c r="I86" s="6" t="n"/>
      <c r="J86" s="6" t="n"/>
      <c r="K86" s="8" t="n"/>
      <c r="L86" s="16">
        <f>IF($A86="","",COUNTIFS(Contracts!$A$5:$A$204,$A86))</f>
        <v/>
      </c>
      <c r="M86" s="14">
        <f>IF($A86="","",SUMIFS(Contracts!$C$5:$C$204,Contracts!$A$5:$A$204,$A86))</f>
        <v/>
      </c>
      <c r="N86" s="14">
        <f>IF($A86="","",SUMIFS(Spend!$E$5:$E$204,Spend!$B$5:$B$204,$A86))</f>
        <v/>
      </c>
      <c r="O86" s="15">
        <f>IF($A86="","",IFERROR($N86/$M86,0))</f>
        <v/>
      </c>
      <c r="P86" s="16">
        <f>IF($A86="","",COUNTIFS(Contracts!$A$5:$A$204,$A86,Contracts!$H$5:$H$204,"MISSED"))</f>
        <v/>
      </c>
      <c r="Q86" s="8" t="n"/>
    </row>
    <row r="87">
      <c r="A87" s="8" t="n"/>
      <c r="B87" s="8" t="n"/>
      <c r="C87" s="8" t="n"/>
      <c r="D87" s="8" t="n"/>
      <c r="E87" s="8" t="n"/>
      <c r="F87" s="8" t="n"/>
      <c r="G87" s="8" t="n"/>
      <c r="H87" s="18" t="n"/>
      <c r="I87" s="6" t="n"/>
      <c r="J87" s="6" t="n"/>
      <c r="K87" s="8" t="n"/>
      <c r="L87" s="16">
        <f>IF($A87="","",COUNTIFS(Contracts!$A$5:$A$204,$A87))</f>
        <v/>
      </c>
      <c r="M87" s="14">
        <f>IF($A87="","",SUMIFS(Contracts!$C$5:$C$204,Contracts!$A$5:$A$204,$A87))</f>
        <v/>
      </c>
      <c r="N87" s="14">
        <f>IF($A87="","",SUMIFS(Spend!$E$5:$E$204,Spend!$B$5:$B$204,$A87))</f>
        <v/>
      </c>
      <c r="O87" s="15">
        <f>IF($A87="","",IFERROR($N87/$M87,0))</f>
        <v/>
      </c>
      <c r="P87" s="16">
        <f>IF($A87="","",COUNTIFS(Contracts!$A$5:$A$204,$A87,Contracts!$H$5:$H$204,"MISSED"))</f>
        <v/>
      </c>
      <c r="Q87" s="8" t="n"/>
    </row>
    <row r="88">
      <c r="A88" s="8" t="n"/>
      <c r="B88" s="8" t="n"/>
      <c r="C88" s="8" t="n"/>
      <c r="D88" s="8" t="n"/>
      <c r="E88" s="8" t="n"/>
      <c r="F88" s="8" t="n"/>
      <c r="G88" s="8" t="n"/>
      <c r="H88" s="18" t="n"/>
      <c r="I88" s="6" t="n"/>
      <c r="J88" s="6" t="n"/>
      <c r="K88" s="8" t="n"/>
      <c r="L88" s="16">
        <f>IF($A88="","",COUNTIFS(Contracts!$A$5:$A$204,$A88))</f>
        <v/>
      </c>
      <c r="M88" s="14">
        <f>IF($A88="","",SUMIFS(Contracts!$C$5:$C$204,Contracts!$A$5:$A$204,$A88))</f>
        <v/>
      </c>
      <c r="N88" s="14">
        <f>IF($A88="","",SUMIFS(Spend!$E$5:$E$204,Spend!$B$5:$B$204,$A88))</f>
        <v/>
      </c>
      <c r="O88" s="15">
        <f>IF($A88="","",IFERROR($N88/$M88,0))</f>
        <v/>
      </c>
      <c r="P88" s="16">
        <f>IF($A88="","",COUNTIFS(Contracts!$A$5:$A$204,$A88,Contracts!$H$5:$H$204,"MISSED"))</f>
        <v/>
      </c>
      <c r="Q88" s="8" t="n"/>
    </row>
    <row r="89">
      <c r="A89" s="8" t="n"/>
      <c r="B89" s="8" t="n"/>
      <c r="C89" s="8" t="n"/>
      <c r="D89" s="8" t="n"/>
      <c r="E89" s="8" t="n"/>
      <c r="F89" s="8" t="n"/>
      <c r="G89" s="8" t="n"/>
      <c r="H89" s="18" t="n"/>
      <c r="I89" s="6" t="n"/>
      <c r="J89" s="6" t="n"/>
      <c r="K89" s="8" t="n"/>
      <c r="L89" s="16">
        <f>IF($A89="","",COUNTIFS(Contracts!$A$5:$A$204,$A89))</f>
        <v/>
      </c>
      <c r="M89" s="14">
        <f>IF($A89="","",SUMIFS(Contracts!$C$5:$C$204,Contracts!$A$5:$A$204,$A89))</f>
        <v/>
      </c>
      <c r="N89" s="14">
        <f>IF($A89="","",SUMIFS(Spend!$E$5:$E$204,Spend!$B$5:$B$204,$A89))</f>
        <v/>
      </c>
      <c r="O89" s="15">
        <f>IF($A89="","",IFERROR($N89/$M89,0))</f>
        <v/>
      </c>
      <c r="P89" s="16">
        <f>IF($A89="","",COUNTIFS(Contracts!$A$5:$A$204,$A89,Contracts!$H$5:$H$204,"MISSED"))</f>
        <v/>
      </c>
      <c r="Q89" s="8" t="n"/>
    </row>
    <row r="90">
      <c r="A90" s="8" t="n"/>
      <c r="B90" s="8" t="n"/>
      <c r="C90" s="8" t="n"/>
      <c r="D90" s="8" t="n"/>
      <c r="E90" s="8" t="n"/>
      <c r="F90" s="8" t="n"/>
      <c r="G90" s="8" t="n"/>
      <c r="H90" s="18" t="n"/>
      <c r="I90" s="6" t="n"/>
      <c r="J90" s="6" t="n"/>
      <c r="K90" s="8" t="n"/>
      <c r="L90" s="16">
        <f>IF($A90="","",COUNTIFS(Contracts!$A$5:$A$204,$A90))</f>
        <v/>
      </c>
      <c r="M90" s="14">
        <f>IF($A90="","",SUMIFS(Contracts!$C$5:$C$204,Contracts!$A$5:$A$204,$A90))</f>
        <v/>
      </c>
      <c r="N90" s="14">
        <f>IF($A90="","",SUMIFS(Spend!$E$5:$E$204,Spend!$B$5:$B$204,$A90))</f>
        <v/>
      </c>
      <c r="O90" s="15">
        <f>IF($A90="","",IFERROR($N90/$M90,0))</f>
        <v/>
      </c>
      <c r="P90" s="16">
        <f>IF($A90="","",COUNTIFS(Contracts!$A$5:$A$204,$A90,Contracts!$H$5:$H$204,"MISSED"))</f>
        <v/>
      </c>
      <c r="Q90" s="8" t="n"/>
    </row>
    <row r="91">
      <c r="A91" s="8" t="n"/>
      <c r="B91" s="8" t="n"/>
      <c r="C91" s="8" t="n"/>
      <c r="D91" s="8" t="n"/>
      <c r="E91" s="8" t="n"/>
      <c r="F91" s="8" t="n"/>
      <c r="G91" s="8" t="n"/>
      <c r="H91" s="18" t="n"/>
      <c r="I91" s="6" t="n"/>
      <c r="J91" s="6" t="n"/>
      <c r="K91" s="8" t="n"/>
      <c r="L91" s="16">
        <f>IF($A91="","",COUNTIFS(Contracts!$A$5:$A$204,$A91))</f>
        <v/>
      </c>
      <c r="M91" s="14">
        <f>IF($A91="","",SUMIFS(Contracts!$C$5:$C$204,Contracts!$A$5:$A$204,$A91))</f>
        <v/>
      </c>
      <c r="N91" s="14">
        <f>IF($A91="","",SUMIFS(Spend!$E$5:$E$204,Spend!$B$5:$B$204,$A91))</f>
        <v/>
      </c>
      <c r="O91" s="15">
        <f>IF($A91="","",IFERROR($N91/$M91,0))</f>
        <v/>
      </c>
      <c r="P91" s="16">
        <f>IF($A91="","",COUNTIFS(Contracts!$A$5:$A$204,$A91,Contracts!$H$5:$H$204,"MISSED"))</f>
        <v/>
      </c>
      <c r="Q91" s="8" t="n"/>
    </row>
    <row r="92">
      <c r="A92" s="8" t="n"/>
      <c r="B92" s="8" t="n"/>
      <c r="C92" s="8" t="n"/>
      <c r="D92" s="8" t="n"/>
      <c r="E92" s="8" t="n"/>
      <c r="F92" s="8" t="n"/>
      <c r="G92" s="8" t="n"/>
      <c r="H92" s="18" t="n"/>
      <c r="I92" s="6" t="n"/>
      <c r="J92" s="6" t="n"/>
      <c r="K92" s="8" t="n"/>
      <c r="L92" s="16">
        <f>IF($A92="","",COUNTIFS(Contracts!$A$5:$A$204,$A92))</f>
        <v/>
      </c>
      <c r="M92" s="14">
        <f>IF($A92="","",SUMIFS(Contracts!$C$5:$C$204,Contracts!$A$5:$A$204,$A92))</f>
        <v/>
      </c>
      <c r="N92" s="14">
        <f>IF($A92="","",SUMIFS(Spend!$E$5:$E$204,Spend!$B$5:$B$204,$A92))</f>
        <v/>
      </c>
      <c r="O92" s="15">
        <f>IF($A92="","",IFERROR($N92/$M92,0))</f>
        <v/>
      </c>
      <c r="P92" s="16">
        <f>IF($A92="","",COUNTIFS(Contracts!$A$5:$A$204,$A92,Contracts!$H$5:$H$204,"MISSED"))</f>
        <v/>
      </c>
      <c r="Q92" s="8" t="n"/>
    </row>
    <row r="93">
      <c r="A93" s="8" t="n"/>
      <c r="B93" s="8" t="n"/>
      <c r="C93" s="8" t="n"/>
      <c r="D93" s="8" t="n"/>
      <c r="E93" s="8" t="n"/>
      <c r="F93" s="8" t="n"/>
      <c r="G93" s="8" t="n"/>
      <c r="H93" s="18" t="n"/>
      <c r="I93" s="6" t="n"/>
      <c r="J93" s="6" t="n"/>
      <c r="K93" s="8" t="n"/>
      <c r="L93" s="16">
        <f>IF($A93="","",COUNTIFS(Contracts!$A$5:$A$204,$A93))</f>
        <v/>
      </c>
      <c r="M93" s="14">
        <f>IF($A93="","",SUMIFS(Contracts!$C$5:$C$204,Contracts!$A$5:$A$204,$A93))</f>
        <v/>
      </c>
      <c r="N93" s="14">
        <f>IF($A93="","",SUMIFS(Spend!$E$5:$E$204,Spend!$B$5:$B$204,$A93))</f>
        <v/>
      </c>
      <c r="O93" s="15">
        <f>IF($A93="","",IFERROR($N93/$M93,0))</f>
        <v/>
      </c>
      <c r="P93" s="16">
        <f>IF($A93="","",COUNTIFS(Contracts!$A$5:$A$204,$A93,Contracts!$H$5:$H$204,"MISSED"))</f>
        <v/>
      </c>
      <c r="Q93" s="8" t="n"/>
    </row>
    <row r="94">
      <c r="A94" s="8" t="n"/>
      <c r="B94" s="8" t="n"/>
      <c r="C94" s="8" t="n"/>
      <c r="D94" s="8" t="n"/>
      <c r="E94" s="8" t="n"/>
      <c r="F94" s="8" t="n"/>
      <c r="G94" s="8" t="n"/>
      <c r="H94" s="18" t="n"/>
      <c r="I94" s="6" t="n"/>
      <c r="J94" s="6" t="n"/>
      <c r="K94" s="8" t="n"/>
      <c r="L94" s="16">
        <f>IF($A94="","",COUNTIFS(Contracts!$A$5:$A$204,$A94))</f>
        <v/>
      </c>
      <c r="M94" s="14">
        <f>IF($A94="","",SUMIFS(Contracts!$C$5:$C$204,Contracts!$A$5:$A$204,$A94))</f>
        <v/>
      </c>
      <c r="N94" s="14">
        <f>IF($A94="","",SUMIFS(Spend!$E$5:$E$204,Spend!$B$5:$B$204,$A94))</f>
        <v/>
      </c>
      <c r="O94" s="15">
        <f>IF($A94="","",IFERROR($N94/$M94,0))</f>
        <v/>
      </c>
      <c r="P94" s="16">
        <f>IF($A94="","",COUNTIFS(Contracts!$A$5:$A$204,$A94,Contracts!$H$5:$H$204,"MISSED"))</f>
        <v/>
      </c>
      <c r="Q94" s="8" t="n"/>
    </row>
    <row r="95">
      <c r="A95" s="8" t="n"/>
      <c r="B95" s="8" t="n"/>
      <c r="C95" s="8" t="n"/>
      <c r="D95" s="8" t="n"/>
      <c r="E95" s="8" t="n"/>
      <c r="F95" s="8" t="n"/>
      <c r="G95" s="8" t="n"/>
      <c r="H95" s="18" t="n"/>
      <c r="I95" s="6" t="n"/>
      <c r="J95" s="6" t="n"/>
      <c r="K95" s="8" t="n"/>
      <c r="L95" s="16">
        <f>IF($A95="","",COUNTIFS(Contracts!$A$5:$A$204,$A95))</f>
        <v/>
      </c>
      <c r="M95" s="14">
        <f>IF($A95="","",SUMIFS(Contracts!$C$5:$C$204,Contracts!$A$5:$A$204,$A95))</f>
        <v/>
      </c>
      <c r="N95" s="14">
        <f>IF($A95="","",SUMIFS(Spend!$E$5:$E$204,Spend!$B$5:$B$204,$A95))</f>
        <v/>
      </c>
      <c r="O95" s="15">
        <f>IF($A95="","",IFERROR($N95/$M95,0))</f>
        <v/>
      </c>
      <c r="P95" s="16">
        <f>IF($A95="","",COUNTIFS(Contracts!$A$5:$A$204,$A95,Contracts!$H$5:$H$204,"MISSED"))</f>
        <v/>
      </c>
      <c r="Q95" s="8" t="n"/>
    </row>
    <row r="96">
      <c r="A96" s="8" t="n"/>
      <c r="B96" s="8" t="n"/>
      <c r="C96" s="8" t="n"/>
      <c r="D96" s="8" t="n"/>
      <c r="E96" s="8" t="n"/>
      <c r="F96" s="8" t="n"/>
      <c r="G96" s="8" t="n"/>
      <c r="H96" s="18" t="n"/>
      <c r="I96" s="6" t="n"/>
      <c r="J96" s="6" t="n"/>
      <c r="K96" s="8" t="n"/>
      <c r="L96" s="16">
        <f>IF($A96="","",COUNTIFS(Contracts!$A$5:$A$204,$A96))</f>
        <v/>
      </c>
      <c r="M96" s="14">
        <f>IF($A96="","",SUMIFS(Contracts!$C$5:$C$204,Contracts!$A$5:$A$204,$A96))</f>
        <v/>
      </c>
      <c r="N96" s="14">
        <f>IF($A96="","",SUMIFS(Spend!$E$5:$E$204,Spend!$B$5:$B$204,$A96))</f>
        <v/>
      </c>
      <c r="O96" s="15">
        <f>IF($A96="","",IFERROR($N96/$M96,0))</f>
        <v/>
      </c>
      <c r="P96" s="16">
        <f>IF($A96="","",COUNTIFS(Contracts!$A$5:$A$204,$A96,Contracts!$H$5:$H$204,"MISSED"))</f>
        <v/>
      </c>
      <c r="Q96" s="8" t="n"/>
    </row>
    <row r="97">
      <c r="A97" s="8" t="n"/>
      <c r="B97" s="8" t="n"/>
      <c r="C97" s="8" t="n"/>
      <c r="D97" s="8" t="n"/>
      <c r="E97" s="8" t="n"/>
      <c r="F97" s="8" t="n"/>
      <c r="G97" s="8" t="n"/>
      <c r="H97" s="18" t="n"/>
      <c r="I97" s="6" t="n"/>
      <c r="J97" s="6" t="n"/>
      <c r="K97" s="8" t="n"/>
      <c r="L97" s="16">
        <f>IF($A97="","",COUNTIFS(Contracts!$A$5:$A$204,$A97))</f>
        <v/>
      </c>
      <c r="M97" s="14">
        <f>IF($A97="","",SUMIFS(Contracts!$C$5:$C$204,Contracts!$A$5:$A$204,$A97))</f>
        <v/>
      </c>
      <c r="N97" s="14">
        <f>IF($A97="","",SUMIFS(Spend!$E$5:$E$204,Spend!$B$5:$B$204,$A97))</f>
        <v/>
      </c>
      <c r="O97" s="15">
        <f>IF($A97="","",IFERROR($N97/$M97,0))</f>
        <v/>
      </c>
      <c r="P97" s="16">
        <f>IF($A97="","",COUNTIFS(Contracts!$A$5:$A$204,$A97,Contracts!$H$5:$H$204,"MISSED"))</f>
        <v/>
      </c>
      <c r="Q97" s="8" t="n"/>
    </row>
    <row r="98">
      <c r="A98" s="8" t="n"/>
      <c r="B98" s="8" t="n"/>
      <c r="C98" s="8" t="n"/>
      <c r="D98" s="8" t="n"/>
      <c r="E98" s="8" t="n"/>
      <c r="F98" s="8" t="n"/>
      <c r="G98" s="8" t="n"/>
      <c r="H98" s="18" t="n"/>
      <c r="I98" s="6" t="n"/>
      <c r="J98" s="6" t="n"/>
      <c r="K98" s="8" t="n"/>
      <c r="L98" s="16">
        <f>IF($A98="","",COUNTIFS(Contracts!$A$5:$A$204,$A98))</f>
        <v/>
      </c>
      <c r="M98" s="14">
        <f>IF($A98="","",SUMIFS(Contracts!$C$5:$C$204,Contracts!$A$5:$A$204,$A98))</f>
        <v/>
      </c>
      <c r="N98" s="14">
        <f>IF($A98="","",SUMIFS(Spend!$E$5:$E$204,Spend!$B$5:$B$204,$A98))</f>
        <v/>
      </c>
      <c r="O98" s="15">
        <f>IF($A98="","",IFERROR($N98/$M98,0))</f>
        <v/>
      </c>
      <c r="P98" s="16">
        <f>IF($A98="","",COUNTIFS(Contracts!$A$5:$A$204,$A98,Contracts!$H$5:$H$204,"MISSED"))</f>
        <v/>
      </c>
      <c r="Q98" s="8" t="n"/>
    </row>
    <row r="99">
      <c r="A99" s="8" t="n"/>
      <c r="B99" s="8" t="n"/>
      <c r="C99" s="8" t="n"/>
      <c r="D99" s="8" t="n"/>
      <c r="E99" s="8" t="n"/>
      <c r="F99" s="8" t="n"/>
      <c r="G99" s="8" t="n"/>
      <c r="H99" s="18" t="n"/>
      <c r="I99" s="6" t="n"/>
      <c r="J99" s="6" t="n"/>
      <c r="K99" s="8" t="n"/>
      <c r="L99" s="16">
        <f>IF($A99="","",COUNTIFS(Contracts!$A$5:$A$204,$A99))</f>
        <v/>
      </c>
      <c r="M99" s="14">
        <f>IF($A99="","",SUMIFS(Contracts!$C$5:$C$204,Contracts!$A$5:$A$204,$A99))</f>
        <v/>
      </c>
      <c r="N99" s="14">
        <f>IF($A99="","",SUMIFS(Spend!$E$5:$E$204,Spend!$B$5:$B$204,$A99))</f>
        <v/>
      </c>
      <c r="O99" s="15">
        <f>IF($A99="","",IFERROR($N99/$M99,0))</f>
        <v/>
      </c>
      <c r="P99" s="16">
        <f>IF($A99="","",COUNTIFS(Contracts!$A$5:$A$204,$A99,Contracts!$H$5:$H$204,"MISSED"))</f>
        <v/>
      </c>
      <c r="Q99" s="8" t="n"/>
    </row>
    <row r="100">
      <c r="A100" s="8" t="n"/>
      <c r="B100" s="8" t="n"/>
      <c r="C100" s="8" t="n"/>
      <c r="D100" s="8" t="n"/>
      <c r="E100" s="8" t="n"/>
      <c r="F100" s="8" t="n"/>
      <c r="G100" s="8" t="n"/>
      <c r="H100" s="18" t="n"/>
      <c r="I100" s="6" t="n"/>
      <c r="J100" s="6" t="n"/>
      <c r="K100" s="8" t="n"/>
      <c r="L100" s="16">
        <f>IF($A100="","",COUNTIFS(Contracts!$A$5:$A$204,$A100))</f>
        <v/>
      </c>
      <c r="M100" s="14">
        <f>IF($A100="","",SUMIFS(Contracts!$C$5:$C$204,Contracts!$A$5:$A$204,$A100))</f>
        <v/>
      </c>
      <c r="N100" s="14">
        <f>IF($A100="","",SUMIFS(Spend!$E$5:$E$204,Spend!$B$5:$B$204,$A100))</f>
        <v/>
      </c>
      <c r="O100" s="15">
        <f>IF($A100="","",IFERROR($N100/$M100,0))</f>
        <v/>
      </c>
      <c r="P100" s="16">
        <f>IF($A100="","",COUNTIFS(Contracts!$A$5:$A$204,$A100,Contracts!$H$5:$H$204,"MISSED"))</f>
        <v/>
      </c>
      <c r="Q100" s="8" t="n"/>
    </row>
    <row r="101">
      <c r="A101" s="8" t="n"/>
      <c r="B101" s="8" t="n"/>
      <c r="C101" s="8" t="n"/>
      <c r="D101" s="8" t="n"/>
      <c r="E101" s="8" t="n"/>
      <c r="F101" s="8" t="n"/>
      <c r="G101" s="8" t="n"/>
      <c r="H101" s="18" t="n"/>
      <c r="I101" s="6" t="n"/>
      <c r="J101" s="6" t="n"/>
      <c r="K101" s="8" t="n"/>
      <c r="L101" s="16">
        <f>IF($A101="","",COUNTIFS(Contracts!$A$5:$A$204,$A101))</f>
        <v/>
      </c>
      <c r="M101" s="14">
        <f>IF($A101="","",SUMIFS(Contracts!$C$5:$C$204,Contracts!$A$5:$A$204,$A101))</f>
        <v/>
      </c>
      <c r="N101" s="14">
        <f>IF($A101="","",SUMIFS(Spend!$E$5:$E$204,Spend!$B$5:$B$204,$A101))</f>
        <v/>
      </c>
      <c r="O101" s="15">
        <f>IF($A101="","",IFERROR($N101/$M101,0))</f>
        <v/>
      </c>
      <c r="P101" s="16">
        <f>IF($A101="","",COUNTIFS(Contracts!$A$5:$A$204,$A101,Contracts!$H$5:$H$204,"MISSED"))</f>
        <v/>
      </c>
      <c r="Q101" s="8" t="n"/>
    </row>
    <row r="102">
      <c r="A102" s="8" t="n"/>
      <c r="B102" s="8" t="n"/>
      <c r="C102" s="8" t="n"/>
      <c r="D102" s="8" t="n"/>
      <c r="E102" s="8" t="n"/>
      <c r="F102" s="8" t="n"/>
      <c r="G102" s="8" t="n"/>
      <c r="H102" s="18" t="n"/>
      <c r="I102" s="6" t="n"/>
      <c r="J102" s="6" t="n"/>
      <c r="K102" s="8" t="n"/>
      <c r="L102" s="16">
        <f>IF($A102="","",COUNTIFS(Contracts!$A$5:$A$204,$A102))</f>
        <v/>
      </c>
      <c r="M102" s="14">
        <f>IF($A102="","",SUMIFS(Contracts!$C$5:$C$204,Contracts!$A$5:$A$204,$A102))</f>
        <v/>
      </c>
      <c r="N102" s="14">
        <f>IF($A102="","",SUMIFS(Spend!$E$5:$E$204,Spend!$B$5:$B$204,$A102))</f>
        <v/>
      </c>
      <c r="O102" s="15">
        <f>IF($A102="","",IFERROR($N102/$M102,0))</f>
        <v/>
      </c>
      <c r="P102" s="16">
        <f>IF($A102="","",COUNTIFS(Contracts!$A$5:$A$204,$A102,Contracts!$H$5:$H$204,"MISSED"))</f>
        <v/>
      </c>
      <c r="Q102" s="8" t="n"/>
    </row>
    <row r="103">
      <c r="A103" s="8" t="n"/>
      <c r="B103" s="8" t="n"/>
      <c r="C103" s="8" t="n"/>
      <c r="D103" s="8" t="n"/>
      <c r="E103" s="8" t="n"/>
      <c r="F103" s="8" t="n"/>
      <c r="G103" s="8" t="n"/>
      <c r="H103" s="18" t="n"/>
      <c r="I103" s="6" t="n"/>
      <c r="J103" s="6" t="n"/>
      <c r="K103" s="8" t="n"/>
      <c r="L103" s="16">
        <f>IF($A103="","",COUNTIFS(Contracts!$A$5:$A$204,$A103))</f>
        <v/>
      </c>
      <c r="M103" s="14">
        <f>IF($A103="","",SUMIFS(Contracts!$C$5:$C$204,Contracts!$A$5:$A$204,$A103))</f>
        <v/>
      </c>
      <c r="N103" s="14">
        <f>IF($A103="","",SUMIFS(Spend!$E$5:$E$204,Spend!$B$5:$B$204,$A103))</f>
        <v/>
      </c>
      <c r="O103" s="15">
        <f>IF($A103="","",IFERROR($N103/$M103,0))</f>
        <v/>
      </c>
      <c r="P103" s="16">
        <f>IF($A103="","",COUNTIFS(Contracts!$A$5:$A$204,$A103,Contracts!$H$5:$H$204,"MISSED"))</f>
        <v/>
      </c>
      <c r="Q103" s="8" t="n"/>
    </row>
    <row r="104">
      <c r="A104" s="8" t="n"/>
      <c r="B104" s="8" t="n"/>
      <c r="C104" s="8" t="n"/>
      <c r="D104" s="8" t="n"/>
      <c r="E104" s="8" t="n"/>
      <c r="F104" s="8" t="n"/>
      <c r="G104" s="8" t="n"/>
      <c r="H104" s="18" t="n"/>
      <c r="I104" s="6" t="n"/>
      <c r="J104" s="6" t="n"/>
      <c r="K104" s="8" t="n"/>
      <c r="L104" s="16">
        <f>IF($A104="","",COUNTIFS(Contracts!$A$5:$A$204,$A104))</f>
        <v/>
      </c>
      <c r="M104" s="14">
        <f>IF($A104="","",SUMIFS(Contracts!$C$5:$C$204,Contracts!$A$5:$A$204,$A104))</f>
        <v/>
      </c>
      <c r="N104" s="14">
        <f>IF($A104="","",SUMIFS(Spend!$E$5:$E$204,Spend!$B$5:$B$204,$A104))</f>
        <v/>
      </c>
      <c r="O104" s="15">
        <f>IF($A104="","",IFERROR($N104/$M104,0))</f>
        <v/>
      </c>
      <c r="P104" s="16">
        <f>IF($A104="","",COUNTIFS(Contracts!$A$5:$A$204,$A104,Contracts!$H$5:$H$204,"MISSED"))</f>
        <v/>
      </c>
      <c r="Q104" s="8" t="n"/>
    </row>
    <row r="107">
      <c r="A107" s="2" t="inlineStr">
        <is>
          <t>The vendor name here must match the Vendor column on Contracts and Spend exactly — that string is the key every lookup in the workbook uses.</t>
        </is>
      </c>
    </row>
  </sheetData>
  <dataValidations count="1">
    <dataValidation sqref="K5:K104" showDropDown="0" showInputMessage="0" showErrorMessage="0" allowBlank="1" type="list">
      <formula1>"Active,Trial,Exiting,Former,Blocked"</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O204"/>
  <sheetViews>
    <sheetView workbookViewId="0">
      <pane ySplit="4" topLeftCell="A5" activePane="bottomLeft" state="frozen"/>
      <selection pane="bottomLeft" activeCell="A1" sqref="A1"/>
    </sheetView>
  </sheetViews>
  <sheetFormatPr baseColWidth="8" defaultRowHeight="15"/>
  <cols>
    <col width="13" customWidth="1" min="1" max="1"/>
    <col width="20" customWidth="1" min="2" max="2"/>
    <col width="16" customWidth="1" min="3" max="3"/>
    <col width="36" customWidth="1" min="4" max="4"/>
    <col width="12" customWidth="1" min="5" max="5"/>
    <col width="8" customWidth="1" min="6" max="6"/>
    <col width="10" customWidth="1" min="7" max="7"/>
    <col width="14" customWidth="1" min="8" max="8"/>
    <col width="16" customWidth="1" min="9" max="9"/>
    <col width="14" customWidth="1" min="10" max="10"/>
    <col width="30" customWidth="1" min="11" max="11"/>
    <col width="32" customWidth="1" min="12" max="12"/>
    <col width="30" customWidth="1" min="14" max="14"/>
    <col width="14" customWidth="1" min="15" max="15"/>
  </cols>
  <sheetData>
    <row r="1">
      <c r="A1" s="1" t="inlineStr">
        <is>
          <t>Spend</t>
        </is>
      </c>
    </row>
    <row r="2">
      <c r="A2" s="2" t="inlineStr">
        <is>
          <t>Actual invoices, against the contracted value. Type A-F and L; G onwards is calculated.</t>
        </is>
      </c>
    </row>
    <row r="4">
      <c r="A4" s="7" t="inlineStr">
        <is>
          <t>Invoice date</t>
        </is>
      </c>
      <c r="B4" s="7" t="inlineStr">
        <is>
          <t>Vendor</t>
        </is>
      </c>
      <c r="C4" s="7" t="inlineStr">
        <is>
          <t>Invoice ref</t>
        </is>
      </c>
      <c r="D4" s="7" t="inlineStr">
        <is>
          <t>Description</t>
        </is>
      </c>
      <c r="E4" s="7" t="inlineStr">
        <is>
          <t>Amount</t>
        </is>
      </c>
      <c r="F4" s="7" t="inlineStr">
        <is>
          <t>Paid</t>
        </is>
      </c>
      <c r="G4" s="7" t="inlineStr">
        <is>
          <t>Month</t>
        </is>
      </c>
      <c r="H4" s="7" t="inlineStr">
        <is>
          <t>Contracted annual</t>
        </is>
      </c>
      <c r="I4" s="7" t="inlineStr">
        <is>
          <t>Invoiced to date for vendor</t>
        </is>
      </c>
      <c r="J4" s="7" t="inlineStr">
        <is>
          <t>Invoiced vs contracted</t>
        </is>
      </c>
      <c r="K4" s="7" t="inlineStr">
        <is>
          <t>Check</t>
        </is>
      </c>
      <c r="L4" s="7" t="inlineStr">
        <is>
          <t>Notes</t>
        </is>
      </c>
      <c r="N4" s="7" t="inlineStr">
        <is>
          <t>Measure</t>
        </is>
      </c>
      <c r="O4" s="7" t="inlineStr">
        <is>
          <t>Value</t>
        </is>
      </c>
    </row>
    <row r="5">
      <c r="A5" s="10" t="n">
        <v>46204</v>
      </c>
      <c r="B5" s="8" t="inlineStr">
        <is>
          <t>Cloud host</t>
        </is>
      </c>
      <c r="C5" s="8" t="inlineStr">
        <is>
          <t>INV-40291-07</t>
        </is>
      </c>
      <c r="D5" s="8" t="inlineStr">
        <is>
          <t>Monthly platform fee</t>
        </is>
      </c>
      <c r="E5" s="9" t="n">
        <v>3500</v>
      </c>
      <c r="F5" s="8" t="inlineStr">
        <is>
          <t>Yes</t>
        </is>
      </c>
      <c r="G5" s="19">
        <f>IF($A5="","",DATE(YEAR($A5),MONTH($A5),1))</f>
        <v/>
      </c>
      <c r="H5" s="14">
        <f>IF($B5="","",SUMIFS(Contracts!$C$5:$C$204,Contracts!$A$5:$A$204,$B5))</f>
        <v/>
      </c>
      <c r="I5" s="14">
        <f>IF($B5="","",SUMIFS($E$5:$E$204,$B$5:$B$204,$B5))</f>
        <v/>
      </c>
      <c r="J5" s="15">
        <f>IF($B5="","",IFERROR($I5/$H5,0))</f>
        <v/>
      </c>
      <c r="K5" s="20">
        <f>IF($A5="","",IF(COUNTIF(Contracts!$A$5:$A$204,$B5)=0,"No contract row for this vendor",IF(COUNTIF(Vendors!$A$5:$A$104,$B5)=0,"Not on the Vendors tab","")))</f>
        <v/>
      </c>
      <c r="L5" s="8" t="n"/>
      <c r="N5" s="21" t="inlineStr">
        <is>
          <t>Invoices logged</t>
        </is>
      </c>
      <c r="O5" s="12">
        <f>COUNTA($A$5:$A$204)</f>
        <v/>
      </c>
    </row>
    <row r="6">
      <c r="A6" s="10" t="n">
        <v>46235</v>
      </c>
      <c r="B6" s="8" t="inlineStr">
        <is>
          <t>Cloud host</t>
        </is>
      </c>
      <c r="C6" s="8" t="inlineStr">
        <is>
          <t>INV-40291-08</t>
        </is>
      </c>
      <c r="D6" s="8" t="inlineStr">
        <is>
          <t>Monthly platform fee</t>
        </is>
      </c>
      <c r="E6" s="9" t="n">
        <v>3500</v>
      </c>
      <c r="F6" s="8" t="inlineStr">
        <is>
          <t>Yes</t>
        </is>
      </c>
      <c r="G6" s="19">
        <f>IF($A6="","",DATE(YEAR($A6),MONTH($A6),1))</f>
        <v/>
      </c>
      <c r="H6" s="14">
        <f>IF($B6="","",SUMIFS(Contracts!$C$5:$C$204,Contracts!$A$5:$A$204,$B6))</f>
        <v/>
      </c>
      <c r="I6" s="14">
        <f>IF($B6="","",SUMIFS($E$5:$E$204,$B$5:$B$204,$B6))</f>
        <v/>
      </c>
      <c r="J6" s="15">
        <f>IF($B6="","",IFERROR($I6/$H6,0))</f>
        <v/>
      </c>
      <c r="K6" s="20">
        <f>IF($A6="","",IF(COUNTIF(Contracts!$A$5:$A$204,$B6)=0,"No contract row for this vendor",IF(COUNTIF(Vendors!$A$5:$A$104,$B6)=0,"Not on the Vendors tab","")))</f>
        <v/>
      </c>
      <c r="L6" s="8" t="n"/>
      <c r="N6" s="21" t="inlineStr">
        <is>
          <t>Invoiced in total</t>
        </is>
      </c>
      <c r="O6" s="17">
        <f>SUM($E$5:$E$204)</f>
        <v/>
      </c>
    </row>
    <row r="7">
      <c r="A7" s="10" t="n">
        <v>46235</v>
      </c>
      <c r="B7" s="8" t="inlineStr">
        <is>
          <t>Cloud host</t>
        </is>
      </c>
      <c r="C7" s="8" t="inlineStr">
        <is>
          <t>INV-40291-08B</t>
        </is>
      </c>
      <c r="D7" s="8" t="inlineStr">
        <is>
          <t>Overage — storage above tier</t>
        </is>
      </c>
      <c r="E7" s="9" t="n">
        <v>640</v>
      </c>
      <c r="F7" s="8" t="inlineStr">
        <is>
          <t>Yes</t>
        </is>
      </c>
      <c r="G7" s="19">
        <f>IF($A7="","",DATE(YEAR($A7),MONTH($A7),1))</f>
        <v/>
      </c>
      <c r="H7" s="14">
        <f>IF($B7="","",SUMIFS(Contracts!$C$5:$C$204,Contracts!$A$5:$A$204,$B7))</f>
        <v/>
      </c>
      <c r="I7" s="14">
        <f>IF($B7="","",SUMIFS($E$5:$E$204,$B$5:$B$204,$B7))</f>
        <v/>
      </c>
      <c r="J7" s="15">
        <f>IF($B7="","",IFERROR($I7/$H7,0))</f>
        <v/>
      </c>
      <c r="K7" s="20">
        <f>IF($A7="","",IF(COUNTIF(Contracts!$A$5:$A$204,$B7)=0,"No contract row for this vendor",IF(COUNTIF(Vendors!$A$5:$A$104,$B7)=0,"Not on the Vendors tab","")))</f>
        <v/>
      </c>
      <c r="L7" s="8" t="n"/>
      <c r="N7" s="21" t="inlineStr">
        <is>
          <t>Unpaid invoices</t>
        </is>
      </c>
      <c r="O7" s="12">
        <f>COUNTIFS($F$5:$F$204,"No")</f>
        <v/>
      </c>
    </row>
    <row r="8">
      <c r="A8" s="10" t="n">
        <v>46218</v>
      </c>
      <c r="B8" s="8" t="inlineStr">
        <is>
          <t>CRM licence</t>
        </is>
      </c>
      <c r="C8" s="8" t="inlineStr">
        <is>
          <t>CRM-2026-Q3</t>
        </is>
      </c>
      <c r="D8" s="8" t="inlineStr">
        <is>
          <t>Quarterly licence, 24 seats</t>
        </is>
      </c>
      <c r="E8" s="9" t="n">
        <v>4650</v>
      </c>
      <c r="F8" s="8" t="inlineStr">
        <is>
          <t>Yes</t>
        </is>
      </c>
      <c r="G8" s="19">
        <f>IF($A8="","",DATE(YEAR($A8),MONTH($A8),1))</f>
        <v/>
      </c>
      <c r="H8" s="14">
        <f>IF($B8="","",SUMIFS(Contracts!$C$5:$C$204,Contracts!$A$5:$A$204,$B8))</f>
        <v/>
      </c>
      <c r="I8" s="14">
        <f>IF($B8="","",SUMIFS($E$5:$E$204,$B$5:$B$204,$B8))</f>
        <v/>
      </c>
      <c r="J8" s="15">
        <f>IF($B8="","",IFERROR($I8/$H8,0))</f>
        <v/>
      </c>
      <c r="K8" s="20">
        <f>IF($A8="","",IF(COUNTIF(Contracts!$A$5:$A$204,$B8)=0,"No contract row for this vendor",IF(COUNTIF(Vendors!$A$5:$A$104,$B8)=0,"Not on the Vendors tab","")))</f>
        <v/>
      </c>
      <c r="L8" s="8" t="n"/>
      <c r="N8" s="21" t="inlineStr">
        <is>
          <t>Unpaid value</t>
        </is>
      </c>
      <c r="O8" s="17">
        <f>SUMIFS($E$5:$E$204,$F$5:$F$204,"No")</f>
        <v/>
      </c>
    </row>
    <row r="9">
      <c r="A9" s="10" t="n">
        <v>46208</v>
      </c>
      <c r="B9" s="8" t="inlineStr">
        <is>
          <t>Payroll bureau</t>
        </is>
      </c>
      <c r="C9" s="8" t="inlineStr">
        <is>
          <t>PB-2026-07</t>
        </is>
      </c>
      <c r="D9" s="8" t="inlineStr">
        <is>
          <t>Monthly payroll run</t>
        </is>
      </c>
      <c r="E9" s="9" t="n">
        <v>820</v>
      </c>
      <c r="F9" s="8" t="inlineStr">
        <is>
          <t>Yes</t>
        </is>
      </c>
      <c r="G9" s="19">
        <f>IF($A9="","",DATE(YEAR($A9),MONTH($A9),1))</f>
        <v/>
      </c>
      <c r="H9" s="14">
        <f>IF($B9="","",SUMIFS(Contracts!$C$5:$C$204,Contracts!$A$5:$A$204,$B9))</f>
        <v/>
      </c>
      <c r="I9" s="14">
        <f>IF($B9="","",SUMIFS($E$5:$E$204,$B$5:$B$204,$B9))</f>
        <v/>
      </c>
      <c r="J9" s="15">
        <f>IF($B9="","",IFERROR($I9/$H9,0))</f>
        <v/>
      </c>
      <c r="K9" s="20">
        <f>IF($A9="","",IF(COUNTIF(Contracts!$A$5:$A$204,$B9)=0,"No contract row for this vendor",IF(COUNTIF(Vendors!$A$5:$A$104,$B9)=0,"Not on the Vendors tab","")))</f>
        <v/>
      </c>
      <c r="L9" s="8" t="n"/>
      <c r="N9" s="21" t="inlineStr">
        <is>
          <t>Annual contracted, all vendors</t>
        </is>
      </c>
      <c r="O9" s="17">
        <f>SUM(Contracts!$C$5:$C$204)</f>
        <v/>
      </c>
    </row>
    <row r="10">
      <c r="A10" s="10" t="n">
        <v>46239</v>
      </c>
      <c r="B10" s="8" t="inlineStr">
        <is>
          <t>Payroll bureau</t>
        </is>
      </c>
      <c r="C10" s="8" t="inlineStr">
        <is>
          <t>PB-2026-08</t>
        </is>
      </c>
      <c r="D10" s="8" t="inlineStr">
        <is>
          <t>Monthly payroll run</t>
        </is>
      </c>
      <c r="E10" s="9" t="n">
        <v>820</v>
      </c>
      <c r="F10" s="8" t="inlineStr">
        <is>
          <t>No</t>
        </is>
      </c>
      <c r="G10" s="19">
        <f>IF($A10="","",DATE(YEAR($A10),MONTH($A10),1))</f>
        <v/>
      </c>
      <c r="H10" s="14">
        <f>IF($B10="","",SUMIFS(Contracts!$C$5:$C$204,Contracts!$A$5:$A$204,$B10))</f>
        <v/>
      </c>
      <c r="I10" s="14">
        <f>IF($B10="","",SUMIFS($E$5:$E$204,$B$5:$B$204,$B10))</f>
        <v/>
      </c>
      <c r="J10" s="15">
        <f>IF($B10="","",IFERROR($I10/$H10,0))</f>
        <v/>
      </c>
      <c r="K10" s="20">
        <f>IF($A10="","",IF(COUNTIF(Contracts!$A$5:$A$204,$B10)=0,"No contract row for this vendor",IF(COUNTIF(Vendors!$A$5:$A$104,$B10)=0,"Not on the Vendors tab","")))</f>
        <v/>
      </c>
      <c r="L10" s="8" t="n"/>
      <c r="N10" s="21" t="inlineStr">
        <is>
          <t>Invoices with no contract row</t>
        </is>
      </c>
      <c r="O10" s="12">
        <f>COUNTIFS($K$5:$K$204,"No contract row for this vendor")</f>
        <v/>
      </c>
    </row>
    <row r="11">
      <c r="A11" s="10" t="n"/>
      <c r="B11" s="8" t="n"/>
      <c r="C11" s="8" t="n"/>
      <c r="D11" s="8" t="n"/>
      <c r="E11" s="9" t="n"/>
      <c r="F11" s="8" t="n"/>
      <c r="G11" s="19">
        <f>IF($A11="","",DATE(YEAR($A11),MONTH($A11),1))</f>
        <v/>
      </c>
      <c r="H11" s="14">
        <f>IF($B11="","",SUMIFS(Contracts!$C$5:$C$204,Contracts!$A$5:$A$204,$B11))</f>
        <v/>
      </c>
      <c r="I11" s="14">
        <f>IF($B11="","",SUMIFS($E$5:$E$204,$B$5:$B$204,$B11))</f>
        <v/>
      </c>
      <c r="J11" s="15">
        <f>IF($B11="","",IFERROR($I11/$H11,0))</f>
        <v/>
      </c>
      <c r="K11" s="20">
        <f>IF($A11="","",IF(COUNTIF(Contracts!$A$5:$A$204,$B11)=0,"No contract row for this vendor",IF(COUNTIF(Vendors!$A$5:$A$104,$B11)=0,"Not on the Vendors tab","")))</f>
        <v/>
      </c>
      <c r="L11" s="8" t="n"/>
    </row>
    <row r="12">
      <c r="A12" s="10" t="n"/>
      <c r="B12" s="8" t="n"/>
      <c r="C12" s="8" t="n"/>
      <c r="D12" s="8" t="n"/>
      <c r="E12" s="9" t="n"/>
      <c r="F12" s="8" t="n"/>
      <c r="G12" s="19">
        <f>IF($A12="","",DATE(YEAR($A12),MONTH($A12),1))</f>
        <v/>
      </c>
      <c r="H12" s="14">
        <f>IF($B12="","",SUMIFS(Contracts!$C$5:$C$204,Contracts!$A$5:$A$204,$B12))</f>
        <v/>
      </c>
      <c r="I12" s="14">
        <f>IF($B12="","",SUMIFS($E$5:$E$204,$B$5:$B$204,$B12))</f>
        <v/>
      </c>
      <c r="J12" s="15">
        <f>IF($B12="","",IFERROR($I12/$H12,0))</f>
        <v/>
      </c>
      <c r="K12" s="20">
        <f>IF($A12="","",IF(COUNTIF(Contracts!$A$5:$A$204,$B12)=0,"No contract row for this vendor",IF(COUNTIF(Vendors!$A$5:$A$104,$B12)=0,"Not on the Vendors tab","")))</f>
        <v/>
      </c>
      <c r="L12" s="8" t="n"/>
    </row>
    <row r="13">
      <c r="A13" s="10" t="n"/>
      <c r="B13" s="8" t="n"/>
      <c r="C13" s="8" t="n"/>
      <c r="D13" s="8" t="n"/>
      <c r="E13" s="9" t="n"/>
      <c r="F13" s="8" t="n"/>
      <c r="G13" s="19">
        <f>IF($A13="","",DATE(YEAR($A13),MONTH($A13),1))</f>
        <v/>
      </c>
      <c r="H13" s="14">
        <f>IF($B13="","",SUMIFS(Contracts!$C$5:$C$204,Contracts!$A$5:$A$204,$B13))</f>
        <v/>
      </c>
      <c r="I13" s="14">
        <f>IF($B13="","",SUMIFS($E$5:$E$204,$B$5:$B$204,$B13))</f>
        <v/>
      </c>
      <c r="J13" s="15">
        <f>IF($B13="","",IFERROR($I13/$H13,0))</f>
        <v/>
      </c>
      <c r="K13" s="20">
        <f>IF($A13="","",IF(COUNTIF(Contracts!$A$5:$A$204,$B13)=0,"No contract row for this vendor",IF(COUNTIF(Vendors!$A$5:$A$104,$B13)=0,"Not on the Vendors tab","")))</f>
        <v/>
      </c>
      <c r="L13" s="8" t="n"/>
    </row>
    <row r="14">
      <c r="A14" s="10" t="n"/>
      <c r="B14" s="8" t="n"/>
      <c r="C14" s="8" t="n"/>
      <c r="D14" s="8" t="n"/>
      <c r="E14" s="9" t="n"/>
      <c r="F14" s="8" t="n"/>
      <c r="G14" s="19">
        <f>IF($A14="","",DATE(YEAR($A14),MONTH($A14),1))</f>
        <v/>
      </c>
      <c r="H14" s="14">
        <f>IF($B14="","",SUMIFS(Contracts!$C$5:$C$204,Contracts!$A$5:$A$204,$B14))</f>
        <v/>
      </c>
      <c r="I14" s="14">
        <f>IF($B14="","",SUMIFS($E$5:$E$204,$B$5:$B$204,$B14))</f>
        <v/>
      </c>
      <c r="J14" s="15">
        <f>IF($B14="","",IFERROR($I14/$H14,0))</f>
        <v/>
      </c>
      <c r="K14" s="20">
        <f>IF($A14="","",IF(COUNTIF(Contracts!$A$5:$A$204,$B14)=0,"No contract row for this vendor",IF(COUNTIF(Vendors!$A$5:$A$104,$B14)=0,"Not on the Vendors tab","")))</f>
        <v/>
      </c>
      <c r="L14" s="8" t="n"/>
    </row>
    <row r="15">
      <c r="A15" s="10" t="n"/>
      <c r="B15" s="8" t="n"/>
      <c r="C15" s="8" t="n"/>
      <c r="D15" s="8" t="n"/>
      <c r="E15" s="9" t="n"/>
      <c r="F15" s="8" t="n"/>
      <c r="G15" s="19">
        <f>IF($A15="","",DATE(YEAR($A15),MONTH($A15),1))</f>
        <v/>
      </c>
      <c r="H15" s="14">
        <f>IF($B15="","",SUMIFS(Contracts!$C$5:$C$204,Contracts!$A$5:$A$204,$B15))</f>
        <v/>
      </c>
      <c r="I15" s="14">
        <f>IF($B15="","",SUMIFS($E$5:$E$204,$B$5:$B$204,$B15))</f>
        <v/>
      </c>
      <c r="J15" s="15">
        <f>IF($B15="","",IFERROR($I15/$H15,0))</f>
        <v/>
      </c>
      <c r="K15" s="20">
        <f>IF($A15="","",IF(COUNTIF(Contracts!$A$5:$A$204,$B15)=0,"No contract row for this vendor",IF(COUNTIF(Vendors!$A$5:$A$104,$B15)=0,"Not on the Vendors tab","")))</f>
        <v/>
      </c>
      <c r="L15" s="8" t="n"/>
    </row>
    <row r="16">
      <c r="A16" s="10" t="n"/>
      <c r="B16" s="8" t="n"/>
      <c r="C16" s="8" t="n"/>
      <c r="D16" s="8" t="n"/>
      <c r="E16" s="9" t="n"/>
      <c r="F16" s="8" t="n"/>
      <c r="G16" s="19">
        <f>IF($A16="","",DATE(YEAR($A16),MONTH($A16),1))</f>
        <v/>
      </c>
      <c r="H16" s="14">
        <f>IF($B16="","",SUMIFS(Contracts!$C$5:$C$204,Contracts!$A$5:$A$204,$B16))</f>
        <v/>
      </c>
      <c r="I16" s="14">
        <f>IF($B16="","",SUMIFS($E$5:$E$204,$B$5:$B$204,$B16))</f>
        <v/>
      </c>
      <c r="J16" s="15">
        <f>IF($B16="","",IFERROR($I16/$H16,0))</f>
        <v/>
      </c>
      <c r="K16" s="20">
        <f>IF($A16="","",IF(COUNTIF(Contracts!$A$5:$A$204,$B16)=0,"No contract row for this vendor",IF(COUNTIF(Vendors!$A$5:$A$104,$B16)=0,"Not on the Vendors tab","")))</f>
        <v/>
      </c>
      <c r="L16" s="8" t="n"/>
    </row>
    <row r="17">
      <c r="A17" s="10" t="n"/>
      <c r="B17" s="8" t="n"/>
      <c r="C17" s="8" t="n"/>
      <c r="D17" s="8" t="n"/>
      <c r="E17" s="9" t="n"/>
      <c r="F17" s="8" t="n"/>
      <c r="G17" s="19">
        <f>IF($A17="","",DATE(YEAR($A17),MONTH($A17),1))</f>
        <v/>
      </c>
      <c r="H17" s="14">
        <f>IF($B17="","",SUMIFS(Contracts!$C$5:$C$204,Contracts!$A$5:$A$204,$B17))</f>
        <v/>
      </c>
      <c r="I17" s="14">
        <f>IF($B17="","",SUMIFS($E$5:$E$204,$B$5:$B$204,$B17))</f>
        <v/>
      </c>
      <c r="J17" s="15">
        <f>IF($B17="","",IFERROR($I17/$H17,0))</f>
        <v/>
      </c>
      <c r="K17" s="20">
        <f>IF($A17="","",IF(COUNTIF(Contracts!$A$5:$A$204,$B17)=0,"No contract row for this vendor",IF(COUNTIF(Vendors!$A$5:$A$104,$B17)=0,"Not on the Vendors tab","")))</f>
        <v/>
      </c>
      <c r="L17" s="8" t="n"/>
    </row>
    <row r="18">
      <c r="A18" s="10" t="n"/>
      <c r="B18" s="8" t="n"/>
      <c r="C18" s="8" t="n"/>
      <c r="D18" s="8" t="n"/>
      <c r="E18" s="9" t="n"/>
      <c r="F18" s="8" t="n"/>
      <c r="G18" s="19">
        <f>IF($A18="","",DATE(YEAR($A18),MONTH($A18),1))</f>
        <v/>
      </c>
      <c r="H18" s="14">
        <f>IF($B18="","",SUMIFS(Contracts!$C$5:$C$204,Contracts!$A$5:$A$204,$B18))</f>
        <v/>
      </c>
      <c r="I18" s="14">
        <f>IF($B18="","",SUMIFS($E$5:$E$204,$B$5:$B$204,$B18))</f>
        <v/>
      </c>
      <c r="J18" s="15">
        <f>IF($B18="","",IFERROR($I18/$H18,0))</f>
        <v/>
      </c>
      <c r="K18" s="20">
        <f>IF($A18="","",IF(COUNTIF(Contracts!$A$5:$A$204,$B18)=0,"No contract row for this vendor",IF(COUNTIF(Vendors!$A$5:$A$104,$B18)=0,"Not on the Vendors tab","")))</f>
        <v/>
      </c>
      <c r="L18" s="8" t="n"/>
    </row>
    <row r="19">
      <c r="A19" s="10" t="n"/>
      <c r="B19" s="8" t="n"/>
      <c r="C19" s="8" t="n"/>
      <c r="D19" s="8" t="n"/>
      <c r="E19" s="9" t="n"/>
      <c r="F19" s="8" t="n"/>
      <c r="G19" s="19">
        <f>IF($A19="","",DATE(YEAR($A19),MONTH($A19),1))</f>
        <v/>
      </c>
      <c r="H19" s="14">
        <f>IF($B19="","",SUMIFS(Contracts!$C$5:$C$204,Contracts!$A$5:$A$204,$B19))</f>
        <v/>
      </c>
      <c r="I19" s="14">
        <f>IF($B19="","",SUMIFS($E$5:$E$204,$B$5:$B$204,$B19))</f>
        <v/>
      </c>
      <c r="J19" s="15">
        <f>IF($B19="","",IFERROR($I19/$H19,0))</f>
        <v/>
      </c>
      <c r="K19" s="20">
        <f>IF($A19="","",IF(COUNTIF(Contracts!$A$5:$A$204,$B19)=0,"No contract row for this vendor",IF(COUNTIF(Vendors!$A$5:$A$104,$B19)=0,"Not on the Vendors tab","")))</f>
        <v/>
      </c>
      <c r="L19" s="8" t="n"/>
    </row>
    <row r="20">
      <c r="A20" s="10" t="n"/>
      <c r="B20" s="8" t="n"/>
      <c r="C20" s="8" t="n"/>
      <c r="D20" s="8" t="n"/>
      <c r="E20" s="9" t="n"/>
      <c r="F20" s="8" t="n"/>
      <c r="G20" s="19">
        <f>IF($A20="","",DATE(YEAR($A20),MONTH($A20),1))</f>
        <v/>
      </c>
      <c r="H20" s="14">
        <f>IF($B20="","",SUMIFS(Contracts!$C$5:$C$204,Contracts!$A$5:$A$204,$B20))</f>
        <v/>
      </c>
      <c r="I20" s="14">
        <f>IF($B20="","",SUMIFS($E$5:$E$204,$B$5:$B$204,$B20))</f>
        <v/>
      </c>
      <c r="J20" s="15">
        <f>IF($B20="","",IFERROR($I20/$H20,0))</f>
        <v/>
      </c>
      <c r="K20" s="20">
        <f>IF($A20="","",IF(COUNTIF(Contracts!$A$5:$A$204,$B20)=0,"No contract row for this vendor",IF(COUNTIF(Vendors!$A$5:$A$104,$B20)=0,"Not on the Vendors tab","")))</f>
        <v/>
      </c>
      <c r="L20" s="8" t="n"/>
    </row>
    <row r="21">
      <c r="A21" s="10" t="n"/>
      <c r="B21" s="8" t="n"/>
      <c r="C21" s="8" t="n"/>
      <c r="D21" s="8" t="n"/>
      <c r="E21" s="9" t="n"/>
      <c r="F21" s="8" t="n"/>
      <c r="G21" s="19">
        <f>IF($A21="","",DATE(YEAR($A21),MONTH($A21),1))</f>
        <v/>
      </c>
      <c r="H21" s="14">
        <f>IF($B21="","",SUMIFS(Contracts!$C$5:$C$204,Contracts!$A$5:$A$204,$B21))</f>
        <v/>
      </c>
      <c r="I21" s="14">
        <f>IF($B21="","",SUMIFS($E$5:$E$204,$B$5:$B$204,$B21))</f>
        <v/>
      </c>
      <c r="J21" s="15">
        <f>IF($B21="","",IFERROR($I21/$H21,0))</f>
        <v/>
      </c>
      <c r="K21" s="20">
        <f>IF($A21="","",IF(COUNTIF(Contracts!$A$5:$A$204,$B21)=0,"No contract row for this vendor",IF(COUNTIF(Vendors!$A$5:$A$104,$B21)=0,"Not on the Vendors tab","")))</f>
        <v/>
      </c>
      <c r="L21" s="8" t="n"/>
    </row>
    <row r="22">
      <c r="A22" s="10" t="n"/>
      <c r="B22" s="8" t="n"/>
      <c r="C22" s="8" t="n"/>
      <c r="D22" s="8" t="n"/>
      <c r="E22" s="9" t="n"/>
      <c r="F22" s="8" t="n"/>
      <c r="G22" s="19">
        <f>IF($A22="","",DATE(YEAR($A22),MONTH($A22),1))</f>
        <v/>
      </c>
      <c r="H22" s="14">
        <f>IF($B22="","",SUMIFS(Contracts!$C$5:$C$204,Contracts!$A$5:$A$204,$B22))</f>
        <v/>
      </c>
      <c r="I22" s="14">
        <f>IF($B22="","",SUMIFS($E$5:$E$204,$B$5:$B$204,$B22))</f>
        <v/>
      </c>
      <c r="J22" s="15">
        <f>IF($B22="","",IFERROR($I22/$H22,0))</f>
        <v/>
      </c>
      <c r="K22" s="20">
        <f>IF($A22="","",IF(COUNTIF(Contracts!$A$5:$A$204,$B22)=0,"No contract row for this vendor",IF(COUNTIF(Vendors!$A$5:$A$104,$B22)=0,"Not on the Vendors tab","")))</f>
        <v/>
      </c>
      <c r="L22" s="8" t="n"/>
    </row>
    <row r="23">
      <c r="A23" s="10" t="n"/>
      <c r="B23" s="8" t="n"/>
      <c r="C23" s="8" t="n"/>
      <c r="D23" s="8" t="n"/>
      <c r="E23" s="9" t="n"/>
      <c r="F23" s="8" t="n"/>
      <c r="G23" s="19">
        <f>IF($A23="","",DATE(YEAR($A23),MONTH($A23),1))</f>
        <v/>
      </c>
      <c r="H23" s="14">
        <f>IF($B23="","",SUMIFS(Contracts!$C$5:$C$204,Contracts!$A$5:$A$204,$B23))</f>
        <v/>
      </c>
      <c r="I23" s="14">
        <f>IF($B23="","",SUMIFS($E$5:$E$204,$B$5:$B$204,$B23))</f>
        <v/>
      </c>
      <c r="J23" s="15">
        <f>IF($B23="","",IFERROR($I23/$H23,0))</f>
        <v/>
      </c>
      <c r="K23" s="20">
        <f>IF($A23="","",IF(COUNTIF(Contracts!$A$5:$A$204,$B23)=0,"No contract row for this vendor",IF(COUNTIF(Vendors!$A$5:$A$104,$B23)=0,"Not on the Vendors tab","")))</f>
        <v/>
      </c>
      <c r="L23" s="8" t="n"/>
    </row>
    <row r="24">
      <c r="A24" s="10" t="n"/>
      <c r="B24" s="8" t="n"/>
      <c r="C24" s="8" t="n"/>
      <c r="D24" s="8" t="n"/>
      <c r="E24" s="9" t="n"/>
      <c r="F24" s="8" t="n"/>
      <c r="G24" s="19">
        <f>IF($A24="","",DATE(YEAR($A24),MONTH($A24),1))</f>
        <v/>
      </c>
      <c r="H24" s="14">
        <f>IF($B24="","",SUMIFS(Contracts!$C$5:$C$204,Contracts!$A$5:$A$204,$B24))</f>
        <v/>
      </c>
      <c r="I24" s="14">
        <f>IF($B24="","",SUMIFS($E$5:$E$204,$B$5:$B$204,$B24))</f>
        <v/>
      </c>
      <c r="J24" s="15">
        <f>IF($B24="","",IFERROR($I24/$H24,0))</f>
        <v/>
      </c>
      <c r="K24" s="20">
        <f>IF($A24="","",IF(COUNTIF(Contracts!$A$5:$A$204,$B24)=0,"No contract row for this vendor",IF(COUNTIF(Vendors!$A$5:$A$104,$B24)=0,"Not on the Vendors tab","")))</f>
        <v/>
      </c>
      <c r="L24" s="8" t="n"/>
    </row>
    <row r="25">
      <c r="A25" s="10" t="n"/>
      <c r="B25" s="8" t="n"/>
      <c r="C25" s="8" t="n"/>
      <c r="D25" s="8" t="n"/>
      <c r="E25" s="9" t="n"/>
      <c r="F25" s="8" t="n"/>
      <c r="G25" s="19">
        <f>IF($A25="","",DATE(YEAR($A25),MONTH($A25),1))</f>
        <v/>
      </c>
      <c r="H25" s="14">
        <f>IF($B25="","",SUMIFS(Contracts!$C$5:$C$204,Contracts!$A$5:$A$204,$B25))</f>
        <v/>
      </c>
      <c r="I25" s="14">
        <f>IF($B25="","",SUMIFS($E$5:$E$204,$B$5:$B$204,$B25))</f>
        <v/>
      </c>
      <c r="J25" s="15">
        <f>IF($B25="","",IFERROR($I25/$H25,0))</f>
        <v/>
      </c>
      <c r="K25" s="20">
        <f>IF($A25="","",IF(COUNTIF(Contracts!$A$5:$A$204,$B25)=0,"No contract row for this vendor",IF(COUNTIF(Vendors!$A$5:$A$104,$B25)=0,"Not on the Vendors tab","")))</f>
        <v/>
      </c>
      <c r="L25" s="8" t="n"/>
    </row>
    <row r="26">
      <c r="A26" s="10" t="n"/>
      <c r="B26" s="8" t="n"/>
      <c r="C26" s="8" t="n"/>
      <c r="D26" s="8" t="n"/>
      <c r="E26" s="9" t="n"/>
      <c r="F26" s="8" t="n"/>
      <c r="G26" s="19">
        <f>IF($A26="","",DATE(YEAR($A26),MONTH($A26),1))</f>
        <v/>
      </c>
      <c r="H26" s="14">
        <f>IF($B26="","",SUMIFS(Contracts!$C$5:$C$204,Contracts!$A$5:$A$204,$B26))</f>
        <v/>
      </c>
      <c r="I26" s="14">
        <f>IF($B26="","",SUMIFS($E$5:$E$204,$B$5:$B$204,$B26))</f>
        <v/>
      </c>
      <c r="J26" s="15">
        <f>IF($B26="","",IFERROR($I26/$H26,0))</f>
        <v/>
      </c>
      <c r="K26" s="20">
        <f>IF($A26="","",IF(COUNTIF(Contracts!$A$5:$A$204,$B26)=0,"No contract row for this vendor",IF(COUNTIF(Vendors!$A$5:$A$104,$B26)=0,"Not on the Vendors tab","")))</f>
        <v/>
      </c>
      <c r="L26" s="8" t="n"/>
    </row>
    <row r="27">
      <c r="A27" s="10" t="n"/>
      <c r="B27" s="8" t="n"/>
      <c r="C27" s="8" t="n"/>
      <c r="D27" s="8" t="n"/>
      <c r="E27" s="9" t="n"/>
      <c r="F27" s="8" t="n"/>
      <c r="G27" s="19">
        <f>IF($A27="","",DATE(YEAR($A27),MONTH($A27),1))</f>
        <v/>
      </c>
      <c r="H27" s="14">
        <f>IF($B27="","",SUMIFS(Contracts!$C$5:$C$204,Contracts!$A$5:$A$204,$B27))</f>
        <v/>
      </c>
      <c r="I27" s="14">
        <f>IF($B27="","",SUMIFS($E$5:$E$204,$B$5:$B$204,$B27))</f>
        <v/>
      </c>
      <c r="J27" s="15">
        <f>IF($B27="","",IFERROR($I27/$H27,0))</f>
        <v/>
      </c>
      <c r="K27" s="20">
        <f>IF($A27="","",IF(COUNTIF(Contracts!$A$5:$A$204,$B27)=0,"No contract row for this vendor",IF(COUNTIF(Vendors!$A$5:$A$104,$B27)=0,"Not on the Vendors tab","")))</f>
        <v/>
      </c>
      <c r="L27" s="8" t="n"/>
    </row>
    <row r="28">
      <c r="A28" s="10" t="n"/>
      <c r="B28" s="8" t="n"/>
      <c r="C28" s="8" t="n"/>
      <c r="D28" s="8" t="n"/>
      <c r="E28" s="9" t="n"/>
      <c r="F28" s="8" t="n"/>
      <c r="G28" s="19">
        <f>IF($A28="","",DATE(YEAR($A28),MONTH($A28),1))</f>
        <v/>
      </c>
      <c r="H28" s="14">
        <f>IF($B28="","",SUMIFS(Contracts!$C$5:$C$204,Contracts!$A$5:$A$204,$B28))</f>
        <v/>
      </c>
      <c r="I28" s="14">
        <f>IF($B28="","",SUMIFS($E$5:$E$204,$B$5:$B$204,$B28))</f>
        <v/>
      </c>
      <c r="J28" s="15">
        <f>IF($B28="","",IFERROR($I28/$H28,0))</f>
        <v/>
      </c>
      <c r="K28" s="20">
        <f>IF($A28="","",IF(COUNTIF(Contracts!$A$5:$A$204,$B28)=0,"No contract row for this vendor",IF(COUNTIF(Vendors!$A$5:$A$104,$B28)=0,"Not on the Vendors tab","")))</f>
        <v/>
      </c>
      <c r="L28" s="8" t="n"/>
    </row>
    <row r="29">
      <c r="A29" s="10" t="n"/>
      <c r="B29" s="8" t="n"/>
      <c r="C29" s="8" t="n"/>
      <c r="D29" s="8" t="n"/>
      <c r="E29" s="9" t="n"/>
      <c r="F29" s="8" t="n"/>
      <c r="G29" s="19">
        <f>IF($A29="","",DATE(YEAR($A29),MONTH($A29),1))</f>
        <v/>
      </c>
      <c r="H29" s="14">
        <f>IF($B29="","",SUMIFS(Contracts!$C$5:$C$204,Contracts!$A$5:$A$204,$B29))</f>
        <v/>
      </c>
      <c r="I29" s="14">
        <f>IF($B29="","",SUMIFS($E$5:$E$204,$B$5:$B$204,$B29))</f>
        <v/>
      </c>
      <c r="J29" s="15">
        <f>IF($B29="","",IFERROR($I29/$H29,0))</f>
        <v/>
      </c>
      <c r="K29" s="20">
        <f>IF($A29="","",IF(COUNTIF(Contracts!$A$5:$A$204,$B29)=0,"No contract row for this vendor",IF(COUNTIF(Vendors!$A$5:$A$104,$B29)=0,"Not on the Vendors tab","")))</f>
        <v/>
      </c>
      <c r="L29" s="8" t="n"/>
    </row>
    <row r="30">
      <c r="A30" s="10" t="n"/>
      <c r="B30" s="8" t="n"/>
      <c r="C30" s="8" t="n"/>
      <c r="D30" s="8" t="n"/>
      <c r="E30" s="9" t="n"/>
      <c r="F30" s="8" t="n"/>
      <c r="G30" s="19">
        <f>IF($A30="","",DATE(YEAR($A30),MONTH($A30),1))</f>
        <v/>
      </c>
      <c r="H30" s="14">
        <f>IF($B30="","",SUMIFS(Contracts!$C$5:$C$204,Contracts!$A$5:$A$204,$B30))</f>
        <v/>
      </c>
      <c r="I30" s="14">
        <f>IF($B30="","",SUMIFS($E$5:$E$204,$B$5:$B$204,$B30))</f>
        <v/>
      </c>
      <c r="J30" s="15">
        <f>IF($B30="","",IFERROR($I30/$H30,0))</f>
        <v/>
      </c>
      <c r="K30" s="20">
        <f>IF($A30="","",IF(COUNTIF(Contracts!$A$5:$A$204,$B30)=0,"No contract row for this vendor",IF(COUNTIF(Vendors!$A$5:$A$104,$B30)=0,"Not on the Vendors tab","")))</f>
        <v/>
      </c>
      <c r="L30" s="8" t="n"/>
    </row>
    <row r="31">
      <c r="A31" s="10" t="n"/>
      <c r="B31" s="8" t="n"/>
      <c r="C31" s="8" t="n"/>
      <c r="D31" s="8" t="n"/>
      <c r="E31" s="9" t="n"/>
      <c r="F31" s="8" t="n"/>
      <c r="G31" s="19">
        <f>IF($A31="","",DATE(YEAR($A31),MONTH($A31),1))</f>
        <v/>
      </c>
      <c r="H31" s="14">
        <f>IF($B31="","",SUMIFS(Contracts!$C$5:$C$204,Contracts!$A$5:$A$204,$B31))</f>
        <v/>
      </c>
      <c r="I31" s="14">
        <f>IF($B31="","",SUMIFS($E$5:$E$204,$B$5:$B$204,$B31))</f>
        <v/>
      </c>
      <c r="J31" s="15">
        <f>IF($B31="","",IFERROR($I31/$H31,0))</f>
        <v/>
      </c>
      <c r="K31" s="20">
        <f>IF($A31="","",IF(COUNTIF(Contracts!$A$5:$A$204,$B31)=0,"No contract row for this vendor",IF(COUNTIF(Vendors!$A$5:$A$104,$B31)=0,"Not on the Vendors tab","")))</f>
        <v/>
      </c>
      <c r="L31" s="8" t="n"/>
    </row>
    <row r="32">
      <c r="A32" s="10" t="n"/>
      <c r="B32" s="8" t="n"/>
      <c r="C32" s="8" t="n"/>
      <c r="D32" s="8" t="n"/>
      <c r="E32" s="9" t="n"/>
      <c r="F32" s="8" t="n"/>
      <c r="G32" s="19">
        <f>IF($A32="","",DATE(YEAR($A32),MONTH($A32),1))</f>
        <v/>
      </c>
      <c r="H32" s="14">
        <f>IF($B32="","",SUMIFS(Contracts!$C$5:$C$204,Contracts!$A$5:$A$204,$B32))</f>
        <v/>
      </c>
      <c r="I32" s="14">
        <f>IF($B32="","",SUMIFS($E$5:$E$204,$B$5:$B$204,$B32))</f>
        <v/>
      </c>
      <c r="J32" s="15">
        <f>IF($B32="","",IFERROR($I32/$H32,0))</f>
        <v/>
      </c>
      <c r="K32" s="20">
        <f>IF($A32="","",IF(COUNTIF(Contracts!$A$5:$A$204,$B32)=0,"No contract row for this vendor",IF(COUNTIF(Vendors!$A$5:$A$104,$B32)=0,"Not on the Vendors tab","")))</f>
        <v/>
      </c>
      <c r="L32" s="8" t="n"/>
    </row>
    <row r="33">
      <c r="A33" s="10" t="n"/>
      <c r="B33" s="8" t="n"/>
      <c r="C33" s="8" t="n"/>
      <c r="D33" s="8" t="n"/>
      <c r="E33" s="9" t="n"/>
      <c r="F33" s="8" t="n"/>
      <c r="G33" s="19">
        <f>IF($A33="","",DATE(YEAR($A33),MONTH($A33),1))</f>
        <v/>
      </c>
      <c r="H33" s="14">
        <f>IF($B33="","",SUMIFS(Contracts!$C$5:$C$204,Contracts!$A$5:$A$204,$B33))</f>
        <v/>
      </c>
      <c r="I33" s="14">
        <f>IF($B33="","",SUMIFS($E$5:$E$204,$B$5:$B$204,$B33))</f>
        <v/>
      </c>
      <c r="J33" s="15">
        <f>IF($B33="","",IFERROR($I33/$H33,0))</f>
        <v/>
      </c>
      <c r="K33" s="20">
        <f>IF($A33="","",IF(COUNTIF(Contracts!$A$5:$A$204,$B33)=0,"No contract row for this vendor",IF(COUNTIF(Vendors!$A$5:$A$104,$B33)=0,"Not on the Vendors tab","")))</f>
        <v/>
      </c>
      <c r="L33" s="8" t="n"/>
    </row>
    <row r="34">
      <c r="A34" s="10" t="n"/>
      <c r="B34" s="8" t="n"/>
      <c r="C34" s="8" t="n"/>
      <c r="D34" s="8" t="n"/>
      <c r="E34" s="9" t="n"/>
      <c r="F34" s="8" t="n"/>
      <c r="G34" s="19">
        <f>IF($A34="","",DATE(YEAR($A34),MONTH($A34),1))</f>
        <v/>
      </c>
      <c r="H34" s="14">
        <f>IF($B34="","",SUMIFS(Contracts!$C$5:$C$204,Contracts!$A$5:$A$204,$B34))</f>
        <v/>
      </c>
      <c r="I34" s="14">
        <f>IF($B34="","",SUMIFS($E$5:$E$204,$B$5:$B$204,$B34))</f>
        <v/>
      </c>
      <c r="J34" s="15">
        <f>IF($B34="","",IFERROR($I34/$H34,0))</f>
        <v/>
      </c>
      <c r="K34" s="20">
        <f>IF($A34="","",IF(COUNTIF(Contracts!$A$5:$A$204,$B34)=0,"No contract row for this vendor",IF(COUNTIF(Vendors!$A$5:$A$104,$B34)=0,"Not on the Vendors tab","")))</f>
        <v/>
      </c>
      <c r="L34" s="8" t="n"/>
    </row>
    <row r="35">
      <c r="A35" s="10" t="n"/>
      <c r="B35" s="8" t="n"/>
      <c r="C35" s="8" t="n"/>
      <c r="D35" s="8" t="n"/>
      <c r="E35" s="9" t="n"/>
      <c r="F35" s="8" t="n"/>
      <c r="G35" s="19">
        <f>IF($A35="","",DATE(YEAR($A35),MONTH($A35),1))</f>
        <v/>
      </c>
      <c r="H35" s="14">
        <f>IF($B35="","",SUMIFS(Contracts!$C$5:$C$204,Contracts!$A$5:$A$204,$B35))</f>
        <v/>
      </c>
      <c r="I35" s="14">
        <f>IF($B35="","",SUMIFS($E$5:$E$204,$B$5:$B$204,$B35))</f>
        <v/>
      </c>
      <c r="J35" s="15">
        <f>IF($B35="","",IFERROR($I35/$H35,0))</f>
        <v/>
      </c>
      <c r="K35" s="20">
        <f>IF($A35="","",IF(COUNTIF(Contracts!$A$5:$A$204,$B35)=0,"No contract row for this vendor",IF(COUNTIF(Vendors!$A$5:$A$104,$B35)=0,"Not on the Vendors tab","")))</f>
        <v/>
      </c>
      <c r="L35" s="8" t="n"/>
    </row>
    <row r="36">
      <c r="A36" s="10" t="n"/>
      <c r="B36" s="8" t="n"/>
      <c r="C36" s="8" t="n"/>
      <c r="D36" s="8" t="n"/>
      <c r="E36" s="9" t="n"/>
      <c r="F36" s="8" t="n"/>
      <c r="G36" s="19">
        <f>IF($A36="","",DATE(YEAR($A36),MONTH($A36),1))</f>
        <v/>
      </c>
      <c r="H36" s="14">
        <f>IF($B36="","",SUMIFS(Contracts!$C$5:$C$204,Contracts!$A$5:$A$204,$B36))</f>
        <v/>
      </c>
      <c r="I36" s="14">
        <f>IF($B36="","",SUMIFS($E$5:$E$204,$B$5:$B$204,$B36))</f>
        <v/>
      </c>
      <c r="J36" s="15">
        <f>IF($B36="","",IFERROR($I36/$H36,0))</f>
        <v/>
      </c>
      <c r="K36" s="20">
        <f>IF($A36="","",IF(COUNTIF(Contracts!$A$5:$A$204,$B36)=0,"No contract row for this vendor",IF(COUNTIF(Vendors!$A$5:$A$104,$B36)=0,"Not on the Vendors tab","")))</f>
        <v/>
      </c>
      <c r="L36" s="8" t="n"/>
    </row>
    <row r="37">
      <c r="A37" s="10" t="n"/>
      <c r="B37" s="8" t="n"/>
      <c r="C37" s="8" t="n"/>
      <c r="D37" s="8" t="n"/>
      <c r="E37" s="9" t="n"/>
      <c r="F37" s="8" t="n"/>
      <c r="G37" s="19">
        <f>IF($A37="","",DATE(YEAR($A37),MONTH($A37),1))</f>
        <v/>
      </c>
      <c r="H37" s="14">
        <f>IF($B37="","",SUMIFS(Contracts!$C$5:$C$204,Contracts!$A$5:$A$204,$B37))</f>
        <v/>
      </c>
      <c r="I37" s="14">
        <f>IF($B37="","",SUMIFS($E$5:$E$204,$B$5:$B$204,$B37))</f>
        <v/>
      </c>
      <c r="J37" s="15">
        <f>IF($B37="","",IFERROR($I37/$H37,0))</f>
        <v/>
      </c>
      <c r="K37" s="20">
        <f>IF($A37="","",IF(COUNTIF(Contracts!$A$5:$A$204,$B37)=0,"No contract row for this vendor",IF(COUNTIF(Vendors!$A$5:$A$104,$B37)=0,"Not on the Vendors tab","")))</f>
        <v/>
      </c>
      <c r="L37" s="8" t="n"/>
    </row>
    <row r="38">
      <c r="A38" s="10" t="n"/>
      <c r="B38" s="8" t="n"/>
      <c r="C38" s="8" t="n"/>
      <c r="D38" s="8" t="n"/>
      <c r="E38" s="9" t="n"/>
      <c r="F38" s="8" t="n"/>
      <c r="G38" s="19">
        <f>IF($A38="","",DATE(YEAR($A38),MONTH($A38),1))</f>
        <v/>
      </c>
      <c r="H38" s="14">
        <f>IF($B38="","",SUMIFS(Contracts!$C$5:$C$204,Contracts!$A$5:$A$204,$B38))</f>
        <v/>
      </c>
      <c r="I38" s="14">
        <f>IF($B38="","",SUMIFS($E$5:$E$204,$B$5:$B$204,$B38))</f>
        <v/>
      </c>
      <c r="J38" s="15">
        <f>IF($B38="","",IFERROR($I38/$H38,0))</f>
        <v/>
      </c>
      <c r="K38" s="20">
        <f>IF($A38="","",IF(COUNTIF(Contracts!$A$5:$A$204,$B38)=0,"No contract row for this vendor",IF(COUNTIF(Vendors!$A$5:$A$104,$B38)=0,"Not on the Vendors tab","")))</f>
        <v/>
      </c>
      <c r="L38" s="8" t="n"/>
    </row>
    <row r="39">
      <c r="A39" s="10" t="n"/>
      <c r="B39" s="8" t="n"/>
      <c r="C39" s="8" t="n"/>
      <c r="D39" s="8" t="n"/>
      <c r="E39" s="9" t="n"/>
      <c r="F39" s="8" t="n"/>
      <c r="G39" s="19">
        <f>IF($A39="","",DATE(YEAR($A39),MONTH($A39),1))</f>
        <v/>
      </c>
      <c r="H39" s="14">
        <f>IF($B39="","",SUMIFS(Contracts!$C$5:$C$204,Contracts!$A$5:$A$204,$B39))</f>
        <v/>
      </c>
      <c r="I39" s="14">
        <f>IF($B39="","",SUMIFS($E$5:$E$204,$B$5:$B$204,$B39))</f>
        <v/>
      </c>
      <c r="J39" s="15">
        <f>IF($B39="","",IFERROR($I39/$H39,0))</f>
        <v/>
      </c>
      <c r="K39" s="20">
        <f>IF($A39="","",IF(COUNTIF(Contracts!$A$5:$A$204,$B39)=0,"No contract row for this vendor",IF(COUNTIF(Vendors!$A$5:$A$104,$B39)=0,"Not on the Vendors tab","")))</f>
        <v/>
      </c>
      <c r="L39" s="8" t="n"/>
    </row>
    <row r="40">
      <c r="A40" s="10" t="n"/>
      <c r="B40" s="8" t="n"/>
      <c r="C40" s="8" t="n"/>
      <c r="D40" s="8" t="n"/>
      <c r="E40" s="9" t="n"/>
      <c r="F40" s="8" t="n"/>
      <c r="G40" s="19">
        <f>IF($A40="","",DATE(YEAR($A40),MONTH($A40),1))</f>
        <v/>
      </c>
      <c r="H40" s="14">
        <f>IF($B40="","",SUMIFS(Contracts!$C$5:$C$204,Contracts!$A$5:$A$204,$B40))</f>
        <v/>
      </c>
      <c r="I40" s="14">
        <f>IF($B40="","",SUMIFS($E$5:$E$204,$B$5:$B$204,$B40))</f>
        <v/>
      </c>
      <c r="J40" s="15">
        <f>IF($B40="","",IFERROR($I40/$H40,0))</f>
        <v/>
      </c>
      <c r="K40" s="20">
        <f>IF($A40="","",IF(COUNTIF(Contracts!$A$5:$A$204,$B40)=0,"No contract row for this vendor",IF(COUNTIF(Vendors!$A$5:$A$104,$B40)=0,"Not on the Vendors tab","")))</f>
        <v/>
      </c>
      <c r="L40" s="8" t="n"/>
    </row>
    <row r="41">
      <c r="A41" s="10" t="n"/>
      <c r="B41" s="8" t="n"/>
      <c r="C41" s="8" t="n"/>
      <c r="D41" s="8" t="n"/>
      <c r="E41" s="9" t="n"/>
      <c r="F41" s="8" t="n"/>
      <c r="G41" s="19">
        <f>IF($A41="","",DATE(YEAR($A41),MONTH($A41),1))</f>
        <v/>
      </c>
      <c r="H41" s="14">
        <f>IF($B41="","",SUMIFS(Contracts!$C$5:$C$204,Contracts!$A$5:$A$204,$B41))</f>
        <v/>
      </c>
      <c r="I41" s="14">
        <f>IF($B41="","",SUMIFS($E$5:$E$204,$B$5:$B$204,$B41))</f>
        <v/>
      </c>
      <c r="J41" s="15">
        <f>IF($B41="","",IFERROR($I41/$H41,0))</f>
        <v/>
      </c>
      <c r="K41" s="20">
        <f>IF($A41="","",IF(COUNTIF(Contracts!$A$5:$A$204,$B41)=0,"No contract row for this vendor",IF(COUNTIF(Vendors!$A$5:$A$104,$B41)=0,"Not on the Vendors tab","")))</f>
        <v/>
      </c>
      <c r="L41" s="8" t="n"/>
    </row>
    <row r="42">
      <c r="A42" s="10" t="n"/>
      <c r="B42" s="8" t="n"/>
      <c r="C42" s="8" t="n"/>
      <c r="D42" s="8" t="n"/>
      <c r="E42" s="9" t="n"/>
      <c r="F42" s="8" t="n"/>
      <c r="G42" s="19">
        <f>IF($A42="","",DATE(YEAR($A42),MONTH($A42),1))</f>
        <v/>
      </c>
      <c r="H42" s="14">
        <f>IF($B42="","",SUMIFS(Contracts!$C$5:$C$204,Contracts!$A$5:$A$204,$B42))</f>
        <v/>
      </c>
      <c r="I42" s="14">
        <f>IF($B42="","",SUMIFS($E$5:$E$204,$B$5:$B$204,$B42))</f>
        <v/>
      </c>
      <c r="J42" s="15">
        <f>IF($B42="","",IFERROR($I42/$H42,0))</f>
        <v/>
      </c>
      <c r="K42" s="20">
        <f>IF($A42="","",IF(COUNTIF(Contracts!$A$5:$A$204,$B42)=0,"No contract row for this vendor",IF(COUNTIF(Vendors!$A$5:$A$104,$B42)=0,"Not on the Vendors tab","")))</f>
        <v/>
      </c>
      <c r="L42" s="8" t="n"/>
    </row>
    <row r="43">
      <c r="A43" s="10" t="n"/>
      <c r="B43" s="8" t="n"/>
      <c r="C43" s="8" t="n"/>
      <c r="D43" s="8" t="n"/>
      <c r="E43" s="9" t="n"/>
      <c r="F43" s="8" t="n"/>
      <c r="G43" s="19">
        <f>IF($A43="","",DATE(YEAR($A43),MONTH($A43),1))</f>
        <v/>
      </c>
      <c r="H43" s="14">
        <f>IF($B43="","",SUMIFS(Contracts!$C$5:$C$204,Contracts!$A$5:$A$204,$B43))</f>
        <v/>
      </c>
      <c r="I43" s="14">
        <f>IF($B43="","",SUMIFS($E$5:$E$204,$B$5:$B$204,$B43))</f>
        <v/>
      </c>
      <c r="J43" s="15">
        <f>IF($B43="","",IFERROR($I43/$H43,0))</f>
        <v/>
      </c>
      <c r="K43" s="20">
        <f>IF($A43="","",IF(COUNTIF(Contracts!$A$5:$A$204,$B43)=0,"No contract row for this vendor",IF(COUNTIF(Vendors!$A$5:$A$104,$B43)=0,"Not on the Vendors tab","")))</f>
        <v/>
      </c>
      <c r="L43" s="8" t="n"/>
    </row>
    <row r="44">
      <c r="A44" s="10" t="n"/>
      <c r="B44" s="8" t="n"/>
      <c r="C44" s="8" t="n"/>
      <c r="D44" s="8" t="n"/>
      <c r="E44" s="9" t="n"/>
      <c r="F44" s="8" t="n"/>
      <c r="G44" s="19">
        <f>IF($A44="","",DATE(YEAR($A44),MONTH($A44),1))</f>
        <v/>
      </c>
      <c r="H44" s="14">
        <f>IF($B44="","",SUMIFS(Contracts!$C$5:$C$204,Contracts!$A$5:$A$204,$B44))</f>
        <v/>
      </c>
      <c r="I44" s="14">
        <f>IF($B44="","",SUMIFS($E$5:$E$204,$B$5:$B$204,$B44))</f>
        <v/>
      </c>
      <c r="J44" s="15">
        <f>IF($B44="","",IFERROR($I44/$H44,0))</f>
        <v/>
      </c>
      <c r="K44" s="20">
        <f>IF($A44="","",IF(COUNTIF(Contracts!$A$5:$A$204,$B44)=0,"No contract row for this vendor",IF(COUNTIF(Vendors!$A$5:$A$104,$B44)=0,"Not on the Vendors tab","")))</f>
        <v/>
      </c>
      <c r="L44" s="8" t="n"/>
    </row>
    <row r="45">
      <c r="A45" s="10" t="n"/>
      <c r="B45" s="8" t="n"/>
      <c r="C45" s="8" t="n"/>
      <c r="D45" s="8" t="n"/>
      <c r="E45" s="9" t="n"/>
      <c r="F45" s="8" t="n"/>
      <c r="G45" s="19">
        <f>IF($A45="","",DATE(YEAR($A45),MONTH($A45),1))</f>
        <v/>
      </c>
      <c r="H45" s="14">
        <f>IF($B45="","",SUMIFS(Contracts!$C$5:$C$204,Contracts!$A$5:$A$204,$B45))</f>
        <v/>
      </c>
      <c r="I45" s="14">
        <f>IF($B45="","",SUMIFS($E$5:$E$204,$B$5:$B$204,$B45))</f>
        <v/>
      </c>
      <c r="J45" s="15">
        <f>IF($B45="","",IFERROR($I45/$H45,0))</f>
        <v/>
      </c>
      <c r="K45" s="20">
        <f>IF($A45="","",IF(COUNTIF(Contracts!$A$5:$A$204,$B45)=0,"No contract row for this vendor",IF(COUNTIF(Vendors!$A$5:$A$104,$B45)=0,"Not on the Vendors tab","")))</f>
        <v/>
      </c>
      <c r="L45" s="8" t="n"/>
    </row>
    <row r="46">
      <c r="A46" s="10" t="n"/>
      <c r="B46" s="8" t="n"/>
      <c r="C46" s="8" t="n"/>
      <c r="D46" s="8" t="n"/>
      <c r="E46" s="9" t="n"/>
      <c r="F46" s="8" t="n"/>
      <c r="G46" s="19">
        <f>IF($A46="","",DATE(YEAR($A46),MONTH($A46),1))</f>
        <v/>
      </c>
      <c r="H46" s="14">
        <f>IF($B46="","",SUMIFS(Contracts!$C$5:$C$204,Contracts!$A$5:$A$204,$B46))</f>
        <v/>
      </c>
      <c r="I46" s="14">
        <f>IF($B46="","",SUMIFS($E$5:$E$204,$B$5:$B$204,$B46))</f>
        <v/>
      </c>
      <c r="J46" s="15">
        <f>IF($B46="","",IFERROR($I46/$H46,0))</f>
        <v/>
      </c>
      <c r="K46" s="20">
        <f>IF($A46="","",IF(COUNTIF(Contracts!$A$5:$A$204,$B46)=0,"No contract row for this vendor",IF(COUNTIF(Vendors!$A$5:$A$104,$B46)=0,"Not on the Vendors tab","")))</f>
        <v/>
      </c>
      <c r="L46" s="8" t="n"/>
    </row>
    <row r="47">
      <c r="A47" s="10" t="n"/>
      <c r="B47" s="8" t="n"/>
      <c r="C47" s="8" t="n"/>
      <c r="D47" s="8" t="n"/>
      <c r="E47" s="9" t="n"/>
      <c r="F47" s="8" t="n"/>
      <c r="G47" s="19">
        <f>IF($A47="","",DATE(YEAR($A47),MONTH($A47),1))</f>
        <v/>
      </c>
      <c r="H47" s="14">
        <f>IF($B47="","",SUMIFS(Contracts!$C$5:$C$204,Contracts!$A$5:$A$204,$B47))</f>
        <v/>
      </c>
      <c r="I47" s="14">
        <f>IF($B47="","",SUMIFS($E$5:$E$204,$B$5:$B$204,$B47))</f>
        <v/>
      </c>
      <c r="J47" s="15">
        <f>IF($B47="","",IFERROR($I47/$H47,0))</f>
        <v/>
      </c>
      <c r="K47" s="20">
        <f>IF($A47="","",IF(COUNTIF(Contracts!$A$5:$A$204,$B47)=0,"No contract row for this vendor",IF(COUNTIF(Vendors!$A$5:$A$104,$B47)=0,"Not on the Vendors tab","")))</f>
        <v/>
      </c>
      <c r="L47" s="8" t="n"/>
    </row>
    <row r="48">
      <c r="A48" s="10" t="n"/>
      <c r="B48" s="8" t="n"/>
      <c r="C48" s="8" t="n"/>
      <c r="D48" s="8" t="n"/>
      <c r="E48" s="9" t="n"/>
      <c r="F48" s="8" t="n"/>
      <c r="G48" s="19">
        <f>IF($A48="","",DATE(YEAR($A48),MONTH($A48),1))</f>
        <v/>
      </c>
      <c r="H48" s="14">
        <f>IF($B48="","",SUMIFS(Contracts!$C$5:$C$204,Contracts!$A$5:$A$204,$B48))</f>
        <v/>
      </c>
      <c r="I48" s="14">
        <f>IF($B48="","",SUMIFS($E$5:$E$204,$B$5:$B$204,$B48))</f>
        <v/>
      </c>
      <c r="J48" s="15">
        <f>IF($B48="","",IFERROR($I48/$H48,0))</f>
        <v/>
      </c>
      <c r="K48" s="20">
        <f>IF($A48="","",IF(COUNTIF(Contracts!$A$5:$A$204,$B48)=0,"No contract row for this vendor",IF(COUNTIF(Vendors!$A$5:$A$104,$B48)=0,"Not on the Vendors tab","")))</f>
        <v/>
      </c>
      <c r="L48" s="8" t="n"/>
    </row>
    <row r="49">
      <c r="A49" s="10" t="n"/>
      <c r="B49" s="8" t="n"/>
      <c r="C49" s="8" t="n"/>
      <c r="D49" s="8" t="n"/>
      <c r="E49" s="9" t="n"/>
      <c r="F49" s="8" t="n"/>
      <c r="G49" s="19">
        <f>IF($A49="","",DATE(YEAR($A49),MONTH($A49),1))</f>
        <v/>
      </c>
      <c r="H49" s="14">
        <f>IF($B49="","",SUMIFS(Contracts!$C$5:$C$204,Contracts!$A$5:$A$204,$B49))</f>
        <v/>
      </c>
      <c r="I49" s="14">
        <f>IF($B49="","",SUMIFS($E$5:$E$204,$B$5:$B$204,$B49))</f>
        <v/>
      </c>
      <c r="J49" s="15">
        <f>IF($B49="","",IFERROR($I49/$H49,0))</f>
        <v/>
      </c>
      <c r="K49" s="20">
        <f>IF($A49="","",IF(COUNTIF(Contracts!$A$5:$A$204,$B49)=0,"No contract row for this vendor",IF(COUNTIF(Vendors!$A$5:$A$104,$B49)=0,"Not on the Vendors tab","")))</f>
        <v/>
      </c>
      <c r="L49" s="8" t="n"/>
    </row>
    <row r="50">
      <c r="A50" s="10" t="n"/>
      <c r="B50" s="8" t="n"/>
      <c r="C50" s="8" t="n"/>
      <c r="D50" s="8" t="n"/>
      <c r="E50" s="9" t="n"/>
      <c r="F50" s="8" t="n"/>
      <c r="G50" s="19">
        <f>IF($A50="","",DATE(YEAR($A50),MONTH($A50),1))</f>
        <v/>
      </c>
      <c r="H50" s="14">
        <f>IF($B50="","",SUMIFS(Contracts!$C$5:$C$204,Contracts!$A$5:$A$204,$B50))</f>
        <v/>
      </c>
      <c r="I50" s="14">
        <f>IF($B50="","",SUMIFS($E$5:$E$204,$B$5:$B$204,$B50))</f>
        <v/>
      </c>
      <c r="J50" s="15">
        <f>IF($B50="","",IFERROR($I50/$H50,0))</f>
        <v/>
      </c>
      <c r="K50" s="20">
        <f>IF($A50="","",IF(COUNTIF(Contracts!$A$5:$A$204,$B50)=0,"No contract row for this vendor",IF(COUNTIF(Vendors!$A$5:$A$104,$B50)=0,"Not on the Vendors tab","")))</f>
        <v/>
      </c>
      <c r="L50" s="8" t="n"/>
    </row>
    <row r="51">
      <c r="A51" s="10" t="n"/>
      <c r="B51" s="8" t="n"/>
      <c r="C51" s="8" t="n"/>
      <c r="D51" s="8" t="n"/>
      <c r="E51" s="9" t="n"/>
      <c r="F51" s="8" t="n"/>
      <c r="G51" s="19">
        <f>IF($A51="","",DATE(YEAR($A51),MONTH($A51),1))</f>
        <v/>
      </c>
      <c r="H51" s="14">
        <f>IF($B51="","",SUMIFS(Contracts!$C$5:$C$204,Contracts!$A$5:$A$204,$B51))</f>
        <v/>
      </c>
      <c r="I51" s="14">
        <f>IF($B51="","",SUMIFS($E$5:$E$204,$B$5:$B$204,$B51))</f>
        <v/>
      </c>
      <c r="J51" s="15">
        <f>IF($B51="","",IFERROR($I51/$H51,0))</f>
        <v/>
      </c>
      <c r="K51" s="20">
        <f>IF($A51="","",IF(COUNTIF(Contracts!$A$5:$A$204,$B51)=0,"No contract row for this vendor",IF(COUNTIF(Vendors!$A$5:$A$104,$B51)=0,"Not on the Vendors tab","")))</f>
        <v/>
      </c>
      <c r="L51" s="8" t="n"/>
    </row>
    <row r="52">
      <c r="A52" s="10" t="n"/>
      <c r="B52" s="8" t="n"/>
      <c r="C52" s="8" t="n"/>
      <c r="D52" s="8" t="n"/>
      <c r="E52" s="9" t="n"/>
      <c r="F52" s="8" t="n"/>
      <c r="G52" s="19">
        <f>IF($A52="","",DATE(YEAR($A52),MONTH($A52),1))</f>
        <v/>
      </c>
      <c r="H52" s="14">
        <f>IF($B52="","",SUMIFS(Contracts!$C$5:$C$204,Contracts!$A$5:$A$204,$B52))</f>
        <v/>
      </c>
      <c r="I52" s="14">
        <f>IF($B52="","",SUMIFS($E$5:$E$204,$B$5:$B$204,$B52))</f>
        <v/>
      </c>
      <c r="J52" s="15">
        <f>IF($B52="","",IFERROR($I52/$H52,0))</f>
        <v/>
      </c>
      <c r="K52" s="20">
        <f>IF($A52="","",IF(COUNTIF(Contracts!$A$5:$A$204,$B52)=0,"No contract row for this vendor",IF(COUNTIF(Vendors!$A$5:$A$104,$B52)=0,"Not on the Vendors tab","")))</f>
        <v/>
      </c>
      <c r="L52" s="8" t="n"/>
    </row>
    <row r="53">
      <c r="A53" s="10" t="n"/>
      <c r="B53" s="8" t="n"/>
      <c r="C53" s="8" t="n"/>
      <c r="D53" s="8" t="n"/>
      <c r="E53" s="9" t="n"/>
      <c r="F53" s="8" t="n"/>
      <c r="G53" s="19">
        <f>IF($A53="","",DATE(YEAR($A53),MONTH($A53),1))</f>
        <v/>
      </c>
      <c r="H53" s="14">
        <f>IF($B53="","",SUMIFS(Contracts!$C$5:$C$204,Contracts!$A$5:$A$204,$B53))</f>
        <v/>
      </c>
      <c r="I53" s="14">
        <f>IF($B53="","",SUMIFS($E$5:$E$204,$B$5:$B$204,$B53))</f>
        <v/>
      </c>
      <c r="J53" s="15">
        <f>IF($B53="","",IFERROR($I53/$H53,0))</f>
        <v/>
      </c>
      <c r="K53" s="20">
        <f>IF($A53="","",IF(COUNTIF(Contracts!$A$5:$A$204,$B53)=0,"No contract row for this vendor",IF(COUNTIF(Vendors!$A$5:$A$104,$B53)=0,"Not on the Vendors tab","")))</f>
        <v/>
      </c>
      <c r="L53" s="8" t="n"/>
    </row>
    <row r="54">
      <c r="A54" s="10" t="n"/>
      <c r="B54" s="8" t="n"/>
      <c r="C54" s="8" t="n"/>
      <c r="D54" s="8" t="n"/>
      <c r="E54" s="9" t="n"/>
      <c r="F54" s="8" t="n"/>
      <c r="G54" s="19">
        <f>IF($A54="","",DATE(YEAR($A54),MONTH($A54),1))</f>
        <v/>
      </c>
      <c r="H54" s="14">
        <f>IF($B54="","",SUMIFS(Contracts!$C$5:$C$204,Contracts!$A$5:$A$204,$B54))</f>
        <v/>
      </c>
      <c r="I54" s="14">
        <f>IF($B54="","",SUMIFS($E$5:$E$204,$B$5:$B$204,$B54))</f>
        <v/>
      </c>
      <c r="J54" s="15">
        <f>IF($B54="","",IFERROR($I54/$H54,0))</f>
        <v/>
      </c>
      <c r="K54" s="20">
        <f>IF($A54="","",IF(COUNTIF(Contracts!$A$5:$A$204,$B54)=0,"No contract row for this vendor",IF(COUNTIF(Vendors!$A$5:$A$104,$B54)=0,"Not on the Vendors tab","")))</f>
        <v/>
      </c>
      <c r="L54" s="8" t="n"/>
    </row>
    <row r="55">
      <c r="A55" s="10" t="n"/>
      <c r="B55" s="8" t="n"/>
      <c r="C55" s="8" t="n"/>
      <c r="D55" s="8" t="n"/>
      <c r="E55" s="9" t="n"/>
      <c r="F55" s="8" t="n"/>
      <c r="G55" s="19">
        <f>IF($A55="","",DATE(YEAR($A55),MONTH($A55),1))</f>
        <v/>
      </c>
      <c r="H55" s="14">
        <f>IF($B55="","",SUMIFS(Contracts!$C$5:$C$204,Contracts!$A$5:$A$204,$B55))</f>
        <v/>
      </c>
      <c r="I55" s="14">
        <f>IF($B55="","",SUMIFS($E$5:$E$204,$B$5:$B$204,$B55))</f>
        <v/>
      </c>
      <c r="J55" s="15">
        <f>IF($B55="","",IFERROR($I55/$H55,0))</f>
        <v/>
      </c>
      <c r="K55" s="20">
        <f>IF($A55="","",IF(COUNTIF(Contracts!$A$5:$A$204,$B55)=0,"No contract row for this vendor",IF(COUNTIF(Vendors!$A$5:$A$104,$B55)=0,"Not on the Vendors tab","")))</f>
        <v/>
      </c>
      <c r="L55" s="8" t="n"/>
    </row>
    <row r="56">
      <c r="A56" s="10" t="n"/>
      <c r="B56" s="8" t="n"/>
      <c r="C56" s="8" t="n"/>
      <c r="D56" s="8" t="n"/>
      <c r="E56" s="9" t="n"/>
      <c r="F56" s="8" t="n"/>
      <c r="G56" s="19">
        <f>IF($A56="","",DATE(YEAR($A56),MONTH($A56),1))</f>
        <v/>
      </c>
      <c r="H56" s="14">
        <f>IF($B56="","",SUMIFS(Contracts!$C$5:$C$204,Contracts!$A$5:$A$204,$B56))</f>
        <v/>
      </c>
      <c r="I56" s="14">
        <f>IF($B56="","",SUMIFS($E$5:$E$204,$B$5:$B$204,$B56))</f>
        <v/>
      </c>
      <c r="J56" s="15">
        <f>IF($B56="","",IFERROR($I56/$H56,0))</f>
        <v/>
      </c>
      <c r="K56" s="20">
        <f>IF($A56="","",IF(COUNTIF(Contracts!$A$5:$A$204,$B56)=0,"No contract row for this vendor",IF(COUNTIF(Vendors!$A$5:$A$104,$B56)=0,"Not on the Vendors tab","")))</f>
        <v/>
      </c>
      <c r="L56" s="8" t="n"/>
    </row>
    <row r="57">
      <c r="A57" s="10" t="n"/>
      <c r="B57" s="8" t="n"/>
      <c r="C57" s="8" t="n"/>
      <c r="D57" s="8" t="n"/>
      <c r="E57" s="9" t="n"/>
      <c r="F57" s="8" t="n"/>
      <c r="G57" s="19">
        <f>IF($A57="","",DATE(YEAR($A57),MONTH($A57),1))</f>
        <v/>
      </c>
      <c r="H57" s="14">
        <f>IF($B57="","",SUMIFS(Contracts!$C$5:$C$204,Contracts!$A$5:$A$204,$B57))</f>
        <v/>
      </c>
      <c r="I57" s="14">
        <f>IF($B57="","",SUMIFS($E$5:$E$204,$B$5:$B$204,$B57))</f>
        <v/>
      </c>
      <c r="J57" s="15">
        <f>IF($B57="","",IFERROR($I57/$H57,0))</f>
        <v/>
      </c>
      <c r="K57" s="20">
        <f>IF($A57="","",IF(COUNTIF(Contracts!$A$5:$A$204,$B57)=0,"No contract row for this vendor",IF(COUNTIF(Vendors!$A$5:$A$104,$B57)=0,"Not on the Vendors tab","")))</f>
        <v/>
      </c>
      <c r="L57" s="8" t="n"/>
    </row>
    <row r="58">
      <c r="A58" s="10" t="n"/>
      <c r="B58" s="8" t="n"/>
      <c r="C58" s="8" t="n"/>
      <c r="D58" s="8" t="n"/>
      <c r="E58" s="9" t="n"/>
      <c r="F58" s="8" t="n"/>
      <c r="G58" s="19">
        <f>IF($A58="","",DATE(YEAR($A58),MONTH($A58),1))</f>
        <v/>
      </c>
      <c r="H58" s="14">
        <f>IF($B58="","",SUMIFS(Contracts!$C$5:$C$204,Contracts!$A$5:$A$204,$B58))</f>
        <v/>
      </c>
      <c r="I58" s="14">
        <f>IF($B58="","",SUMIFS($E$5:$E$204,$B$5:$B$204,$B58))</f>
        <v/>
      </c>
      <c r="J58" s="15">
        <f>IF($B58="","",IFERROR($I58/$H58,0))</f>
        <v/>
      </c>
      <c r="K58" s="20">
        <f>IF($A58="","",IF(COUNTIF(Contracts!$A$5:$A$204,$B58)=0,"No contract row for this vendor",IF(COUNTIF(Vendors!$A$5:$A$104,$B58)=0,"Not on the Vendors tab","")))</f>
        <v/>
      </c>
      <c r="L58" s="8" t="n"/>
    </row>
    <row r="59">
      <c r="A59" s="10" t="n"/>
      <c r="B59" s="8" t="n"/>
      <c r="C59" s="8" t="n"/>
      <c r="D59" s="8" t="n"/>
      <c r="E59" s="9" t="n"/>
      <c r="F59" s="8" t="n"/>
      <c r="G59" s="19">
        <f>IF($A59="","",DATE(YEAR($A59),MONTH($A59),1))</f>
        <v/>
      </c>
      <c r="H59" s="14">
        <f>IF($B59="","",SUMIFS(Contracts!$C$5:$C$204,Contracts!$A$5:$A$204,$B59))</f>
        <v/>
      </c>
      <c r="I59" s="14">
        <f>IF($B59="","",SUMIFS($E$5:$E$204,$B$5:$B$204,$B59))</f>
        <v/>
      </c>
      <c r="J59" s="15">
        <f>IF($B59="","",IFERROR($I59/$H59,0))</f>
        <v/>
      </c>
      <c r="K59" s="20">
        <f>IF($A59="","",IF(COUNTIF(Contracts!$A$5:$A$204,$B59)=0,"No contract row for this vendor",IF(COUNTIF(Vendors!$A$5:$A$104,$B59)=0,"Not on the Vendors tab","")))</f>
        <v/>
      </c>
      <c r="L59" s="8" t="n"/>
    </row>
    <row r="60">
      <c r="A60" s="10" t="n"/>
      <c r="B60" s="8" t="n"/>
      <c r="C60" s="8" t="n"/>
      <c r="D60" s="8" t="n"/>
      <c r="E60" s="9" t="n"/>
      <c r="F60" s="8" t="n"/>
      <c r="G60" s="19">
        <f>IF($A60="","",DATE(YEAR($A60),MONTH($A60),1))</f>
        <v/>
      </c>
      <c r="H60" s="14">
        <f>IF($B60="","",SUMIFS(Contracts!$C$5:$C$204,Contracts!$A$5:$A$204,$B60))</f>
        <v/>
      </c>
      <c r="I60" s="14">
        <f>IF($B60="","",SUMIFS($E$5:$E$204,$B$5:$B$204,$B60))</f>
        <v/>
      </c>
      <c r="J60" s="15">
        <f>IF($B60="","",IFERROR($I60/$H60,0))</f>
        <v/>
      </c>
      <c r="K60" s="20">
        <f>IF($A60="","",IF(COUNTIF(Contracts!$A$5:$A$204,$B60)=0,"No contract row for this vendor",IF(COUNTIF(Vendors!$A$5:$A$104,$B60)=0,"Not on the Vendors tab","")))</f>
        <v/>
      </c>
      <c r="L60" s="8" t="n"/>
    </row>
    <row r="61">
      <c r="A61" s="10" t="n"/>
      <c r="B61" s="8" t="n"/>
      <c r="C61" s="8" t="n"/>
      <c r="D61" s="8" t="n"/>
      <c r="E61" s="9" t="n"/>
      <c r="F61" s="8" t="n"/>
      <c r="G61" s="19">
        <f>IF($A61="","",DATE(YEAR($A61),MONTH($A61),1))</f>
        <v/>
      </c>
      <c r="H61" s="14">
        <f>IF($B61="","",SUMIFS(Contracts!$C$5:$C$204,Contracts!$A$5:$A$204,$B61))</f>
        <v/>
      </c>
      <c r="I61" s="14">
        <f>IF($B61="","",SUMIFS($E$5:$E$204,$B$5:$B$204,$B61))</f>
        <v/>
      </c>
      <c r="J61" s="15">
        <f>IF($B61="","",IFERROR($I61/$H61,0))</f>
        <v/>
      </c>
      <c r="K61" s="20">
        <f>IF($A61="","",IF(COUNTIF(Contracts!$A$5:$A$204,$B61)=0,"No contract row for this vendor",IF(COUNTIF(Vendors!$A$5:$A$104,$B61)=0,"Not on the Vendors tab","")))</f>
        <v/>
      </c>
      <c r="L61" s="8" t="n"/>
    </row>
    <row r="62">
      <c r="A62" s="10" t="n"/>
      <c r="B62" s="8" t="n"/>
      <c r="C62" s="8" t="n"/>
      <c r="D62" s="8" t="n"/>
      <c r="E62" s="9" t="n"/>
      <c r="F62" s="8" t="n"/>
      <c r="G62" s="19">
        <f>IF($A62="","",DATE(YEAR($A62),MONTH($A62),1))</f>
        <v/>
      </c>
      <c r="H62" s="14">
        <f>IF($B62="","",SUMIFS(Contracts!$C$5:$C$204,Contracts!$A$5:$A$204,$B62))</f>
        <v/>
      </c>
      <c r="I62" s="14">
        <f>IF($B62="","",SUMIFS($E$5:$E$204,$B$5:$B$204,$B62))</f>
        <v/>
      </c>
      <c r="J62" s="15">
        <f>IF($B62="","",IFERROR($I62/$H62,0))</f>
        <v/>
      </c>
      <c r="K62" s="20">
        <f>IF($A62="","",IF(COUNTIF(Contracts!$A$5:$A$204,$B62)=0,"No contract row for this vendor",IF(COUNTIF(Vendors!$A$5:$A$104,$B62)=0,"Not on the Vendors tab","")))</f>
        <v/>
      </c>
      <c r="L62" s="8" t="n"/>
    </row>
    <row r="63">
      <c r="A63" s="10" t="n"/>
      <c r="B63" s="8" t="n"/>
      <c r="C63" s="8" t="n"/>
      <c r="D63" s="8" t="n"/>
      <c r="E63" s="9" t="n"/>
      <c r="F63" s="8" t="n"/>
      <c r="G63" s="19">
        <f>IF($A63="","",DATE(YEAR($A63),MONTH($A63),1))</f>
        <v/>
      </c>
      <c r="H63" s="14">
        <f>IF($B63="","",SUMIFS(Contracts!$C$5:$C$204,Contracts!$A$5:$A$204,$B63))</f>
        <v/>
      </c>
      <c r="I63" s="14">
        <f>IF($B63="","",SUMIFS($E$5:$E$204,$B$5:$B$204,$B63))</f>
        <v/>
      </c>
      <c r="J63" s="15">
        <f>IF($B63="","",IFERROR($I63/$H63,0))</f>
        <v/>
      </c>
      <c r="K63" s="20">
        <f>IF($A63="","",IF(COUNTIF(Contracts!$A$5:$A$204,$B63)=0,"No contract row for this vendor",IF(COUNTIF(Vendors!$A$5:$A$104,$B63)=0,"Not on the Vendors tab","")))</f>
        <v/>
      </c>
      <c r="L63" s="8" t="n"/>
    </row>
    <row r="64">
      <c r="A64" s="10" t="n"/>
      <c r="B64" s="8" t="n"/>
      <c r="C64" s="8" t="n"/>
      <c r="D64" s="8" t="n"/>
      <c r="E64" s="9" t="n"/>
      <c r="F64" s="8" t="n"/>
      <c r="G64" s="19">
        <f>IF($A64="","",DATE(YEAR($A64),MONTH($A64),1))</f>
        <v/>
      </c>
      <c r="H64" s="14">
        <f>IF($B64="","",SUMIFS(Contracts!$C$5:$C$204,Contracts!$A$5:$A$204,$B64))</f>
        <v/>
      </c>
      <c r="I64" s="14">
        <f>IF($B64="","",SUMIFS($E$5:$E$204,$B$5:$B$204,$B64))</f>
        <v/>
      </c>
      <c r="J64" s="15">
        <f>IF($B64="","",IFERROR($I64/$H64,0))</f>
        <v/>
      </c>
      <c r="K64" s="20">
        <f>IF($A64="","",IF(COUNTIF(Contracts!$A$5:$A$204,$B64)=0,"No contract row for this vendor",IF(COUNTIF(Vendors!$A$5:$A$104,$B64)=0,"Not on the Vendors tab","")))</f>
        <v/>
      </c>
      <c r="L64" s="8" t="n"/>
    </row>
    <row r="65">
      <c r="A65" s="10" t="n"/>
      <c r="B65" s="8" t="n"/>
      <c r="C65" s="8" t="n"/>
      <c r="D65" s="8" t="n"/>
      <c r="E65" s="9" t="n"/>
      <c r="F65" s="8" t="n"/>
      <c r="G65" s="19">
        <f>IF($A65="","",DATE(YEAR($A65),MONTH($A65),1))</f>
        <v/>
      </c>
      <c r="H65" s="14">
        <f>IF($B65="","",SUMIFS(Contracts!$C$5:$C$204,Contracts!$A$5:$A$204,$B65))</f>
        <v/>
      </c>
      <c r="I65" s="14">
        <f>IF($B65="","",SUMIFS($E$5:$E$204,$B$5:$B$204,$B65))</f>
        <v/>
      </c>
      <c r="J65" s="15">
        <f>IF($B65="","",IFERROR($I65/$H65,0))</f>
        <v/>
      </c>
      <c r="K65" s="20">
        <f>IF($A65="","",IF(COUNTIF(Contracts!$A$5:$A$204,$B65)=0,"No contract row for this vendor",IF(COUNTIF(Vendors!$A$5:$A$104,$B65)=0,"Not on the Vendors tab","")))</f>
        <v/>
      </c>
      <c r="L65" s="8" t="n"/>
    </row>
    <row r="66">
      <c r="A66" s="10" t="n"/>
      <c r="B66" s="8" t="n"/>
      <c r="C66" s="8" t="n"/>
      <c r="D66" s="8" t="n"/>
      <c r="E66" s="9" t="n"/>
      <c r="F66" s="8" t="n"/>
      <c r="G66" s="19">
        <f>IF($A66="","",DATE(YEAR($A66),MONTH($A66),1))</f>
        <v/>
      </c>
      <c r="H66" s="14">
        <f>IF($B66="","",SUMIFS(Contracts!$C$5:$C$204,Contracts!$A$5:$A$204,$B66))</f>
        <v/>
      </c>
      <c r="I66" s="14">
        <f>IF($B66="","",SUMIFS($E$5:$E$204,$B$5:$B$204,$B66))</f>
        <v/>
      </c>
      <c r="J66" s="15">
        <f>IF($B66="","",IFERROR($I66/$H66,0))</f>
        <v/>
      </c>
      <c r="K66" s="20">
        <f>IF($A66="","",IF(COUNTIF(Contracts!$A$5:$A$204,$B66)=0,"No contract row for this vendor",IF(COUNTIF(Vendors!$A$5:$A$104,$B66)=0,"Not on the Vendors tab","")))</f>
        <v/>
      </c>
      <c r="L66" s="8" t="n"/>
    </row>
    <row r="67">
      <c r="A67" s="10" t="n"/>
      <c r="B67" s="8" t="n"/>
      <c r="C67" s="8" t="n"/>
      <c r="D67" s="8" t="n"/>
      <c r="E67" s="9" t="n"/>
      <c r="F67" s="8" t="n"/>
      <c r="G67" s="19">
        <f>IF($A67="","",DATE(YEAR($A67),MONTH($A67),1))</f>
        <v/>
      </c>
      <c r="H67" s="14">
        <f>IF($B67="","",SUMIFS(Contracts!$C$5:$C$204,Contracts!$A$5:$A$204,$B67))</f>
        <v/>
      </c>
      <c r="I67" s="14">
        <f>IF($B67="","",SUMIFS($E$5:$E$204,$B$5:$B$204,$B67))</f>
        <v/>
      </c>
      <c r="J67" s="15">
        <f>IF($B67="","",IFERROR($I67/$H67,0))</f>
        <v/>
      </c>
      <c r="K67" s="20">
        <f>IF($A67="","",IF(COUNTIF(Contracts!$A$5:$A$204,$B67)=0,"No contract row for this vendor",IF(COUNTIF(Vendors!$A$5:$A$104,$B67)=0,"Not on the Vendors tab","")))</f>
        <v/>
      </c>
      <c r="L67" s="8" t="n"/>
    </row>
    <row r="68">
      <c r="A68" s="10" t="n"/>
      <c r="B68" s="8" t="n"/>
      <c r="C68" s="8" t="n"/>
      <c r="D68" s="8" t="n"/>
      <c r="E68" s="9" t="n"/>
      <c r="F68" s="8" t="n"/>
      <c r="G68" s="19">
        <f>IF($A68="","",DATE(YEAR($A68),MONTH($A68),1))</f>
        <v/>
      </c>
      <c r="H68" s="14">
        <f>IF($B68="","",SUMIFS(Contracts!$C$5:$C$204,Contracts!$A$5:$A$204,$B68))</f>
        <v/>
      </c>
      <c r="I68" s="14">
        <f>IF($B68="","",SUMIFS($E$5:$E$204,$B$5:$B$204,$B68))</f>
        <v/>
      </c>
      <c r="J68" s="15">
        <f>IF($B68="","",IFERROR($I68/$H68,0))</f>
        <v/>
      </c>
      <c r="K68" s="20">
        <f>IF($A68="","",IF(COUNTIF(Contracts!$A$5:$A$204,$B68)=0,"No contract row for this vendor",IF(COUNTIF(Vendors!$A$5:$A$104,$B68)=0,"Not on the Vendors tab","")))</f>
        <v/>
      </c>
      <c r="L68" s="8" t="n"/>
    </row>
    <row r="69">
      <c r="A69" s="10" t="n"/>
      <c r="B69" s="8" t="n"/>
      <c r="C69" s="8" t="n"/>
      <c r="D69" s="8" t="n"/>
      <c r="E69" s="9" t="n"/>
      <c r="F69" s="8" t="n"/>
      <c r="G69" s="19">
        <f>IF($A69="","",DATE(YEAR($A69),MONTH($A69),1))</f>
        <v/>
      </c>
      <c r="H69" s="14">
        <f>IF($B69="","",SUMIFS(Contracts!$C$5:$C$204,Contracts!$A$5:$A$204,$B69))</f>
        <v/>
      </c>
      <c r="I69" s="14">
        <f>IF($B69="","",SUMIFS($E$5:$E$204,$B$5:$B$204,$B69))</f>
        <v/>
      </c>
      <c r="J69" s="15">
        <f>IF($B69="","",IFERROR($I69/$H69,0))</f>
        <v/>
      </c>
      <c r="K69" s="20">
        <f>IF($A69="","",IF(COUNTIF(Contracts!$A$5:$A$204,$B69)=0,"No contract row for this vendor",IF(COUNTIF(Vendors!$A$5:$A$104,$B69)=0,"Not on the Vendors tab","")))</f>
        <v/>
      </c>
      <c r="L69" s="8" t="n"/>
    </row>
    <row r="70">
      <c r="A70" s="10" t="n"/>
      <c r="B70" s="8" t="n"/>
      <c r="C70" s="8" t="n"/>
      <c r="D70" s="8" t="n"/>
      <c r="E70" s="9" t="n"/>
      <c r="F70" s="8" t="n"/>
      <c r="G70" s="19">
        <f>IF($A70="","",DATE(YEAR($A70),MONTH($A70),1))</f>
        <v/>
      </c>
      <c r="H70" s="14">
        <f>IF($B70="","",SUMIFS(Contracts!$C$5:$C$204,Contracts!$A$5:$A$204,$B70))</f>
        <v/>
      </c>
      <c r="I70" s="14">
        <f>IF($B70="","",SUMIFS($E$5:$E$204,$B$5:$B$204,$B70))</f>
        <v/>
      </c>
      <c r="J70" s="15">
        <f>IF($B70="","",IFERROR($I70/$H70,0))</f>
        <v/>
      </c>
      <c r="K70" s="20">
        <f>IF($A70="","",IF(COUNTIF(Contracts!$A$5:$A$204,$B70)=0,"No contract row for this vendor",IF(COUNTIF(Vendors!$A$5:$A$104,$B70)=0,"Not on the Vendors tab","")))</f>
        <v/>
      </c>
      <c r="L70" s="8" t="n"/>
    </row>
    <row r="71">
      <c r="A71" s="10" t="n"/>
      <c r="B71" s="8" t="n"/>
      <c r="C71" s="8" t="n"/>
      <c r="D71" s="8" t="n"/>
      <c r="E71" s="9" t="n"/>
      <c r="F71" s="8" t="n"/>
      <c r="G71" s="19">
        <f>IF($A71="","",DATE(YEAR($A71),MONTH($A71),1))</f>
        <v/>
      </c>
      <c r="H71" s="14">
        <f>IF($B71="","",SUMIFS(Contracts!$C$5:$C$204,Contracts!$A$5:$A$204,$B71))</f>
        <v/>
      </c>
      <c r="I71" s="14">
        <f>IF($B71="","",SUMIFS($E$5:$E$204,$B$5:$B$204,$B71))</f>
        <v/>
      </c>
      <c r="J71" s="15">
        <f>IF($B71="","",IFERROR($I71/$H71,0))</f>
        <v/>
      </c>
      <c r="K71" s="20">
        <f>IF($A71="","",IF(COUNTIF(Contracts!$A$5:$A$204,$B71)=0,"No contract row for this vendor",IF(COUNTIF(Vendors!$A$5:$A$104,$B71)=0,"Not on the Vendors tab","")))</f>
        <v/>
      </c>
      <c r="L71" s="8" t="n"/>
    </row>
    <row r="72">
      <c r="A72" s="10" t="n"/>
      <c r="B72" s="8" t="n"/>
      <c r="C72" s="8" t="n"/>
      <c r="D72" s="8" t="n"/>
      <c r="E72" s="9" t="n"/>
      <c r="F72" s="8" t="n"/>
      <c r="G72" s="19">
        <f>IF($A72="","",DATE(YEAR($A72),MONTH($A72),1))</f>
        <v/>
      </c>
      <c r="H72" s="14">
        <f>IF($B72="","",SUMIFS(Contracts!$C$5:$C$204,Contracts!$A$5:$A$204,$B72))</f>
        <v/>
      </c>
      <c r="I72" s="14">
        <f>IF($B72="","",SUMIFS($E$5:$E$204,$B$5:$B$204,$B72))</f>
        <v/>
      </c>
      <c r="J72" s="15">
        <f>IF($B72="","",IFERROR($I72/$H72,0))</f>
        <v/>
      </c>
      <c r="K72" s="20">
        <f>IF($A72="","",IF(COUNTIF(Contracts!$A$5:$A$204,$B72)=0,"No contract row for this vendor",IF(COUNTIF(Vendors!$A$5:$A$104,$B72)=0,"Not on the Vendors tab","")))</f>
        <v/>
      </c>
      <c r="L72" s="8" t="n"/>
    </row>
    <row r="73">
      <c r="A73" s="10" t="n"/>
      <c r="B73" s="8" t="n"/>
      <c r="C73" s="8" t="n"/>
      <c r="D73" s="8" t="n"/>
      <c r="E73" s="9" t="n"/>
      <c r="F73" s="8" t="n"/>
      <c r="G73" s="19">
        <f>IF($A73="","",DATE(YEAR($A73),MONTH($A73),1))</f>
        <v/>
      </c>
      <c r="H73" s="14">
        <f>IF($B73="","",SUMIFS(Contracts!$C$5:$C$204,Contracts!$A$5:$A$204,$B73))</f>
        <v/>
      </c>
      <c r="I73" s="14">
        <f>IF($B73="","",SUMIFS($E$5:$E$204,$B$5:$B$204,$B73))</f>
        <v/>
      </c>
      <c r="J73" s="15">
        <f>IF($B73="","",IFERROR($I73/$H73,0))</f>
        <v/>
      </c>
      <c r="K73" s="20">
        <f>IF($A73="","",IF(COUNTIF(Contracts!$A$5:$A$204,$B73)=0,"No contract row for this vendor",IF(COUNTIF(Vendors!$A$5:$A$104,$B73)=0,"Not on the Vendors tab","")))</f>
        <v/>
      </c>
      <c r="L73" s="8" t="n"/>
    </row>
    <row r="74">
      <c r="A74" s="10" t="n"/>
      <c r="B74" s="8" t="n"/>
      <c r="C74" s="8" t="n"/>
      <c r="D74" s="8" t="n"/>
      <c r="E74" s="9" t="n"/>
      <c r="F74" s="8" t="n"/>
      <c r="G74" s="19">
        <f>IF($A74="","",DATE(YEAR($A74),MONTH($A74),1))</f>
        <v/>
      </c>
      <c r="H74" s="14">
        <f>IF($B74="","",SUMIFS(Contracts!$C$5:$C$204,Contracts!$A$5:$A$204,$B74))</f>
        <v/>
      </c>
      <c r="I74" s="14">
        <f>IF($B74="","",SUMIFS($E$5:$E$204,$B$5:$B$204,$B74))</f>
        <v/>
      </c>
      <c r="J74" s="15">
        <f>IF($B74="","",IFERROR($I74/$H74,0))</f>
        <v/>
      </c>
      <c r="K74" s="20">
        <f>IF($A74="","",IF(COUNTIF(Contracts!$A$5:$A$204,$B74)=0,"No contract row for this vendor",IF(COUNTIF(Vendors!$A$5:$A$104,$B74)=0,"Not on the Vendors tab","")))</f>
        <v/>
      </c>
      <c r="L74" s="8" t="n"/>
    </row>
    <row r="75">
      <c r="A75" s="10" t="n"/>
      <c r="B75" s="8" t="n"/>
      <c r="C75" s="8" t="n"/>
      <c r="D75" s="8" t="n"/>
      <c r="E75" s="9" t="n"/>
      <c r="F75" s="8" t="n"/>
      <c r="G75" s="19">
        <f>IF($A75="","",DATE(YEAR($A75),MONTH($A75),1))</f>
        <v/>
      </c>
      <c r="H75" s="14">
        <f>IF($B75="","",SUMIFS(Contracts!$C$5:$C$204,Contracts!$A$5:$A$204,$B75))</f>
        <v/>
      </c>
      <c r="I75" s="14">
        <f>IF($B75="","",SUMIFS($E$5:$E$204,$B$5:$B$204,$B75))</f>
        <v/>
      </c>
      <c r="J75" s="15">
        <f>IF($B75="","",IFERROR($I75/$H75,0))</f>
        <v/>
      </c>
      <c r="K75" s="20">
        <f>IF($A75="","",IF(COUNTIF(Contracts!$A$5:$A$204,$B75)=0,"No contract row for this vendor",IF(COUNTIF(Vendors!$A$5:$A$104,$B75)=0,"Not on the Vendors tab","")))</f>
        <v/>
      </c>
      <c r="L75" s="8" t="n"/>
    </row>
    <row r="76">
      <c r="A76" s="10" t="n"/>
      <c r="B76" s="8" t="n"/>
      <c r="C76" s="8" t="n"/>
      <c r="D76" s="8" t="n"/>
      <c r="E76" s="9" t="n"/>
      <c r="F76" s="8" t="n"/>
      <c r="G76" s="19">
        <f>IF($A76="","",DATE(YEAR($A76),MONTH($A76),1))</f>
        <v/>
      </c>
      <c r="H76" s="14">
        <f>IF($B76="","",SUMIFS(Contracts!$C$5:$C$204,Contracts!$A$5:$A$204,$B76))</f>
        <v/>
      </c>
      <c r="I76" s="14">
        <f>IF($B76="","",SUMIFS($E$5:$E$204,$B$5:$B$204,$B76))</f>
        <v/>
      </c>
      <c r="J76" s="15">
        <f>IF($B76="","",IFERROR($I76/$H76,0))</f>
        <v/>
      </c>
      <c r="K76" s="20">
        <f>IF($A76="","",IF(COUNTIF(Contracts!$A$5:$A$204,$B76)=0,"No contract row for this vendor",IF(COUNTIF(Vendors!$A$5:$A$104,$B76)=0,"Not on the Vendors tab","")))</f>
        <v/>
      </c>
      <c r="L76" s="8" t="n"/>
    </row>
    <row r="77">
      <c r="A77" s="10" t="n"/>
      <c r="B77" s="8" t="n"/>
      <c r="C77" s="8" t="n"/>
      <c r="D77" s="8" t="n"/>
      <c r="E77" s="9" t="n"/>
      <c r="F77" s="8" t="n"/>
      <c r="G77" s="19">
        <f>IF($A77="","",DATE(YEAR($A77),MONTH($A77),1))</f>
        <v/>
      </c>
      <c r="H77" s="14">
        <f>IF($B77="","",SUMIFS(Contracts!$C$5:$C$204,Contracts!$A$5:$A$204,$B77))</f>
        <v/>
      </c>
      <c r="I77" s="14">
        <f>IF($B77="","",SUMIFS($E$5:$E$204,$B$5:$B$204,$B77))</f>
        <v/>
      </c>
      <c r="J77" s="15">
        <f>IF($B77="","",IFERROR($I77/$H77,0))</f>
        <v/>
      </c>
      <c r="K77" s="20">
        <f>IF($A77="","",IF(COUNTIF(Contracts!$A$5:$A$204,$B77)=0,"No contract row for this vendor",IF(COUNTIF(Vendors!$A$5:$A$104,$B77)=0,"Not on the Vendors tab","")))</f>
        <v/>
      </c>
      <c r="L77" s="8" t="n"/>
    </row>
    <row r="78">
      <c r="A78" s="10" t="n"/>
      <c r="B78" s="8" t="n"/>
      <c r="C78" s="8" t="n"/>
      <c r="D78" s="8" t="n"/>
      <c r="E78" s="9" t="n"/>
      <c r="F78" s="8" t="n"/>
      <c r="G78" s="19">
        <f>IF($A78="","",DATE(YEAR($A78),MONTH($A78),1))</f>
        <v/>
      </c>
      <c r="H78" s="14">
        <f>IF($B78="","",SUMIFS(Contracts!$C$5:$C$204,Contracts!$A$5:$A$204,$B78))</f>
        <v/>
      </c>
      <c r="I78" s="14">
        <f>IF($B78="","",SUMIFS($E$5:$E$204,$B$5:$B$204,$B78))</f>
        <v/>
      </c>
      <c r="J78" s="15">
        <f>IF($B78="","",IFERROR($I78/$H78,0))</f>
        <v/>
      </c>
      <c r="K78" s="20">
        <f>IF($A78="","",IF(COUNTIF(Contracts!$A$5:$A$204,$B78)=0,"No contract row for this vendor",IF(COUNTIF(Vendors!$A$5:$A$104,$B78)=0,"Not on the Vendors tab","")))</f>
        <v/>
      </c>
      <c r="L78" s="8" t="n"/>
    </row>
    <row r="79">
      <c r="A79" s="10" t="n"/>
      <c r="B79" s="8" t="n"/>
      <c r="C79" s="8" t="n"/>
      <c r="D79" s="8" t="n"/>
      <c r="E79" s="9" t="n"/>
      <c r="F79" s="8" t="n"/>
      <c r="G79" s="19">
        <f>IF($A79="","",DATE(YEAR($A79),MONTH($A79),1))</f>
        <v/>
      </c>
      <c r="H79" s="14">
        <f>IF($B79="","",SUMIFS(Contracts!$C$5:$C$204,Contracts!$A$5:$A$204,$B79))</f>
        <v/>
      </c>
      <c r="I79" s="14">
        <f>IF($B79="","",SUMIFS($E$5:$E$204,$B$5:$B$204,$B79))</f>
        <v/>
      </c>
      <c r="J79" s="15">
        <f>IF($B79="","",IFERROR($I79/$H79,0))</f>
        <v/>
      </c>
      <c r="K79" s="20">
        <f>IF($A79="","",IF(COUNTIF(Contracts!$A$5:$A$204,$B79)=0,"No contract row for this vendor",IF(COUNTIF(Vendors!$A$5:$A$104,$B79)=0,"Not on the Vendors tab","")))</f>
        <v/>
      </c>
      <c r="L79" s="8" t="n"/>
    </row>
    <row r="80">
      <c r="A80" s="10" t="n"/>
      <c r="B80" s="8" t="n"/>
      <c r="C80" s="8" t="n"/>
      <c r="D80" s="8" t="n"/>
      <c r="E80" s="9" t="n"/>
      <c r="F80" s="8" t="n"/>
      <c r="G80" s="19">
        <f>IF($A80="","",DATE(YEAR($A80),MONTH($A80),1))</f>
        <v/>
      </c>
      <c r="H80" s="14">
        <f>IF($B80="","",SUMIFS(Contracts!$C$5:$C$204,Contracts!$A$5:$A$204,$B80))</f>
        <v/>
      </c>
      <c r="I80" s="14">
        <f>IF($B80="","",SUMIFS($E$5:$E$204,$B$5:$B$204,$B80))</f>
        <v/>
      </c>
      <c r="J80" s="15">
        <f>IF($B80="","",IFERROR($I80/$H80,0))</f>
        <v/>
      </c>
      <c r="K80" s="20">
        <f>IF($A80="","",IF(COUNTIF(Contracts!$A$5:$A$204,$B80)=0,"No contract row for this vendor",IF(COUNTIF(Vendors!$A$5:$A$104,$B80)=0,"Not on the Vendors tab","")))</f>
        <v/>
      </c>
      <c r="L80" s="8" t="n"/>
    </row>
    <row r="81">
      <c r="A81" s="10" t="n"/>
      <c r="B81" s="8" t="n"/>
      <c r="C81" s="8" t="n"/>
      <c r="D81" s="8" t="n"/>
      <c r="E81" s="9" t="n"/>
      <c r="F81" s="8" t="n"/>
      <c r="G81" s="19">
        <f>IF($A81="","",DATE(YEAR($A81),MONTH($A81),1))</f>
        <v/>
      </c>
      <c r="H81" s="14">
        <f>IF($B81="","",SUMIFS(Contracts!$C$5:$C$204,Contracts!$A$5:$A$204,$B81))</f>
        <v/>
      </c>
      <c r="I81" s="14">
        <f>IF($B81="","",SUMIFS($E$5:$E$204,$B$5:$B$204,$B81))</f>
        <v/>
      </c>
      <c r="J81" s="15">
        <f>IF($B81="","",IFERROR($I81/$H81,0))</f>
        <v/>
      </c>
      <c r="K81" s="20">
        <f>IF($A81="","",IF(COUNTIF(Contracts!$A$5:$A$204,$B81)=0,"No contract row for this vendor",IF(COUNTIF(Vendors!$A$5:$A$104,$B81)=0,"Not on the Vendors tab","")))</f>
        <v/>
      </c>
      <c r="L81" s="8" t="n"/>
    </row>
    <row r="82">
      <c r="A82" s="10" t="n"/>
      <c r="B82" s="8" t="n"/>
      <c r="C82" s="8" t="n"/>
      <c r="D82" s="8" t="n"/>
      <c r="E82" s="9" t="n"/>
      <c r="F82" s="8" t="n"/>
      <c r="G82" s="19">
        <f>IF($A82="","",DATE(YEAR($A82),MONTH($A82),1))</f>
        <v/>
      </c>
      <c r="H82" s="14">
        <f>IF($B82="","",SUMIFS(Contracts!$C$5:$C$204,Contracts!$A$5:$A$204,$B82))</f>
        <v/>
      </c>
      <c r="I82" s="14">
        <f>IF($B82="","",SUMIFS($E$5:$E$204,$B$5:$B$204,$B82))</f>
        <v/>
      </c>
      <c r="J82" s="15">
        <f>IF($B82="","",IFERROR($I82/$H82,0))</f>
        <v/>
      </c>
      <c r="K82" s="20">
        <f>IF($A82="","",IF(COUNTIF(Contracts!$A$5:$A$204,$B82)=0,"No contract row for this vendor",IF(COUNTIF(Vendors!$A$5:$A$104,$B82)=0,"Not on the Vendors tab","")))</f>
        <v/>
      </c>
      <c r="L82" s="8" t="n"/>
    </row>
    <row r="83">
      <c r="A83" s="10" t="n"/>
      <c r="B83" s="8" t="n"/>
      <c r="C83" s="8" t="n"/>
      <c r="D83" s="8" t="n"/>
      <c r="E83" s="9" t="n"/>
      <c r="F83" s="8" t="n"/>
      <c r="G83" s="19">
        <f>IF($A83="","",DATE(YEAR($A83),MONTH($A83),1))</f>
        <v/>
      </c>
      <c r="H83" s="14">
        <f>IF($B83="","",SUMIFS(Contracts!$C$5:$C$204,Contracts!$A$5:$A$204,$B83))</f>
        <v/>
      </c>
      <c r="I83" s="14">
        <f>IF($B83="","",SUMIFS($E$5:$E$204,$B$5:$B$204,$B83))</f>
        <v/>
      </c>
      <c r="J83" s="15">
        <f>IF($B83="","",IFERROR($I83/$H83,0))</f>
        <v/>
      </c>
      <c r="K83" s="20">
        <f>IF($A83="","",IF(COUNTIF(Contracts!$A$5:$A$204,$B83)=0,"No contract row for this vendor",IF(COUNTIF(Vendors!$A$5:$A$104,$B83)=0,"Not on the Vendors tab","")))</f>
        <v/>
      </c>
      <c r="L83" s="8" t="n"/>
    </row>
    <row r="84">
      <c r="A84" s="10" t="n"/>
      <c r="B84" s="8" t="n"/>
      <c r="C84" s="8" t="n"/>
      <c r="D84" s="8" t="n"/>
      <c r="E84" s="9" t="n"/>
      <c r="F84" s="8" t="n"/>
      <c r="G84" s="19">
        <f>IF($A84="","",DATE(YEAR($A84),MONTH($A84),1))</f>
        <v/>
      </c>
      <c r="H84" s="14">
        <f>IF($B84="","",SUMIFS(Contracts!$C$5:$C$204,Contracts!$A$5:$A$204,$B84))</f>
        <v/>
      </c>
      <c r="I84" s="14">
        <f>IF($B84="","",SUMIFS($E$5:$E$204,$B$5:$B$204,$B84))</f>
        <v/>
      </c>
      <c r="J84" s="15">
        <f>IF($B84="","",IFERROR($I84/$H84,0))</f>
        <v/>
      </c>
      <c r="K84" s="20">
        <f>IF($A84="","",IF(COUNTIF(Contracts!$A$5:$A$204,$B84)=0,"No contract row for this vendor",IF(COUNTIF(Vendors!$A$5:$A$104,$B84)=0,"Not on the Vendors tab","")))</f>
        <v/>
      </c>
      <c r="L84" s="8" t="n"/>
    </row>
    <row r="85">
      <c r="A85" s="10" t="n"/>
      <c r="B85" s="8" t="n"/>
      <c r="C85" s="8" t="n"/>
      <c r="D85" s="8" t="n"/>
      <c r="E85" s="9" t="n"/>
      <c r="F85" s="8" t="n"/>
      <c r="G85" s="19">
        <f>IF($A85="","",DATE(YEAR($A85),MONTH($A85),1))</f>
        <v/>
      </c>
      <c r="H85" s="14">
        <f>IF($B85="","",SUMIFS(Contracts!$C$5:$C$204,Contracts!$A$5:$A$204,$B85))</f>
        <v/>
      </c>
      <c r="I85" s="14">
        <f>IF($B85="","",SUMIFS($E$5:$E$204,$B$5:$B$204,$B85))</f>
        <v/>
      </c>
      <c r="J85" s="15">
        <f>IF($B85="","",IFERROR($I85/$H85,0))</f>
        <v/>
      </c>
      <c r="K85" s="20">
        <f>IF($A85="","",IF(COUNTIF(Contracts!$A$5:$A$204,$B85)=0,"No contract row for this vendor",IF(COUNTIF(Vendors!$A$5:$A$104,$B85)=0,"Not on the Vendors tab","")))</f>
        <v/>
      </c>
      <c r="L85" s="8" t="n"/>
    </row>
    <row r="86">
      <c r="A86" s="10" t="n"/>
      <c r="B86" s="8" t="n"/>
      <c r="C86" s="8" t="n"/>
      <c r="D86" s="8" t="n"/>
      <c r="E86" s="9" t="n"/>
      <c r="F86" s="8" t="n"/>
      <c r="G86" s="19">
        <f>IF($A86="","",DATE(YEAR($A86),MONTH($A86),1))</f>
        <v/>
      </c>
      <c r="H86" s="14">
        <f>IF($B86="","",SUMIFS(Contracts!$C$5:$C$204,Contracts!$A$5:$A$204,$B86))</f>
        <v/>
      </c>
      <c r="I86" s="14">
        <f>IF($B86="","",SUMIFS($E$5:$E$204,$B$5:$B$204,$B86))</f>
        <v/>
      </c>
      <c r="J86" s="15">
        <f>IF($B86="","",IFERROR($I86/$H86,0))</f>
        <v/>
      </c>
      <c r="K86" s="20">
        <f>IF($A86="","",IF(COUNTIF(Contracts!$A$5:$A$204,$B86)=0,"No contract row for this vendor",IF(COUNTIF(Vendors!$A$5:$A$104,$B86)=0,"Not on the Vendors tab","")))</f>
        <v/>
      </c>
      <c r="L86" s="8" t="n"/>
    </row>
    <row r="87">
      <c r="A87" s="10" t="n"/>
      <c r="B87" s="8" t="n"/>
      <c r="C87" s="8" t="n"/>
      <c r="D87" s="8" t="n"/>
      <c r="E87" s="9" t="n"/>
      <c r="F87" s="8" t="n"/>
      <c r="G87" s="19">
        <f>IF($A87="","",DATE(YEAR($A87),MONTH($A87),1))</f>
        <v/>
      </c>
      <c r="H87" s="14">
        <f>IF($B87="","",SUMIFS(Contracts!$C$5:$C$204,Contracts!$A$5:$A$204,$B87))</f>
        <v/>
      </c>
      <c r="I87" s="14">
        <f>IF($B87="","",SUMIFS($E$5:$E$204,$B$5:$B$204,$B87))</f>
        <v/>
      </c>
      <c r="J87" s="15">
        <f>IF($B87="","",IFERROR($I87/$H87,0))</f>
        <v/>
      </c>
      <c r="K87" s="20">
        <f>IF($A87="","",IF(COUNTIF(Contracts!$A$5:$A$204,$B87)=0,"No contract row for this vendor",IF(COUNTIF(Vendors!$A$5:$A$104,$B87)=0,"Not on the Vendors tab","")))</f>
        <v/>
      </c>
      <c r="L87" s="8" t="n"/>
    </row>
    <row r="88">
      <c r="A88" s="10" t="n"/>
      <c r="B88" s="8" t="n"/>
      <c r="C88" s="8" t="n"/>
      <c r="D88" s="8" t="n"/>
      <c r="E88" s="9" t="n"/>
      <c r="F88" s="8" t="n"/>
      <c r="G88" s="19">
        <f>IF($A88="","",DATE(YEAR($A88),MONTH($A88),1))</f>
        <v/>
      </c>
      <c r="H88" s="14">
        <f>IF($B88="","",SUMIFS(Contracts!$C$5:$C$204,Contracts!$A$5:$A$204,$B88))</f>
        <v/>
      </c>
      <c r="I88" s="14">
        <f>IF($B88="","",SUMIFS($E$5:$E$204,$B$5:$B$204,$B88))</f>
        <v/>
      </c>
      <c r="J88" s="15">
        <f>IF($B88="","",IFERROR($I88/$H88,0))</f>
        <v/>
      </c>
      <c r="K88" s="20">
        <f>IF($A88="","",IF(COUNTIF(Contracts!$A$5:$A$204,$B88)=0,"No contract row for this vendor",IF(COUNTIF(Vendors!$A$5:$A$104,$B88)=0,"Not on the Vendors tab","")))</f>
        <v/>
      </c>
      <c r="L88" s="8" t="n"/>
    </row>
    <row r="89">
      <c r="A89" s="10" t="n"/>
      <c r="B89" s="8" t="n"/>
      <c r="C89" s="8" t="n"/>
      <c r="D89" s="8" t="n"/>
      <c r="E89" s="9" t="n"/>
      <c r="F89" s="8" t="n"/>
      <c r="G89" s="19">
        <f>IF($A89="","",DATE(YEAR($A89),MONTH($A89),1))</f>
        <v/>
      </c>
      <c r="H89" s="14">
        <f>IF($B89="","",SUMIFS(Contracts!$C$5:$C$204,Contracts!$A$5:$A$204,$B89))</f>
        <v/>
      </c>
      <c r="I89" s="14">
        <f>IF($B89="","",SUMIFS($E$5:$E$204,$B$5:$B$204,$B89))</f>
        <v/>
      </c>
      <c r="J89" s="15">
        <f>IF($B89="","",IFERROR($I89/$H89,0))</f>
        <v/>
      </c>
      <c r="K89" s="20">
        <f>IF($A89="","",IF(COUNTIF(Contracts!$A$5:$A$204,$B89)=0,"No contract row for this vendor",IF(COUNTIF(Vendors!$A$5:$A$104,$B89)=0,"Not on the Vendors tab","")))</f>
        <v/>
      </c>
      <c r="L89" s="8" t="n"/>
    </row>
    <row r="90">
      <c r="A90" s="10" t="n"/>
      <c r="B90" s="8" t="n"/>
      <c r="C90" s="8" t="n"/>
      <c r="D90" s="8" t="n"/>
      <c r="E90" s="9" t="n"/>
      <c r="F90" s="8" t="n"/>
      <c r="G90" s="19">
        <f>IF($A90="","",DATE(YEAR($A90),MONTH($A90),1))</f>
        <v/>
      </c>
      <c r="H90" s="14">
        <f>IF($B90="","",SUMIFS(Contracts!$C$5:$C$204,Contracts!$A$5:$A$204,$B90))</f>
        <v/>
      </c>
      <c r="I90" s="14">
        <f>IF($B90="","",SUMIFS($E$5:$E$204,$B$5:$B$204,$B90))</f>
        <v/>
      </c>
      <c r="J90" s="15">
        <f>IF($B90="","",IFERROR($I90/$H90,0))</f>
        <v/>
      </c>
      <c r="K90" s="20">
        <f>IF($A90="","",IF(COUNTIF(Contracts!$A$5:$A$204,$B90)=0,"No contract row for this vendor",IF(COUNTIF(Vendors!$A$5:$A$104,$B90)=0,"Not on the Vendors tab","")))</f>
        <v/>
      </c>
      <c r="L90" s="8" t="n"/>
    </row>
    <row r="91">
      <c r="A91" s="10" t="n"/>
      <c r="B91" s="8" t="n"/>
      <c r="C91" s="8" t="n"/>
      <c r="D91" s="8" t="n"/>
      <c r="E91" s="9" t="n"/>
      <c r="F91" s="8" t="n"/>
      <c r="G91" s="19">
        <f>IF($A91="","",DATE(YEAR($A91),MONTH($A91),1))</f>
        <v/>
      </c>
      <c r="H91" s="14">
        <f>IF($B91="","",SUMIFS(Contracts!$C$5:$C$204,Contracts!$A$5:$A$204,$B91))</f>
        <v/>
      </c>
      <c r="I91" s="14">
        <f>IF($B91="","",SUMIFS($E$5:$E$204,$B$5:$B$204,$B91))</f>
        <v/>
      </c>
      <c r="J91" s="15">
        <f>IF($B91="","",IFERROR($I91/$H91,0))</f>
        <v/>
      </c>
      <c r="K91" s="20">
        <f>IF($A91="","",IF(COUNTIF(Contracts!$A$5:$A$204,$B91)=0,"No contract row for this vendor",IF(COUNTIF(Vendors!$A$5:$A$104,$B91)=0,"Not on the Vendors tab","")))</f>
        <v/>
      </c>
      <c r="L91" s="8" t="n"/>
    </row>
    <row r="92">
      <c r="A92" s="10" t="n"/>
      <c r="B92" s="8" t="n"/>
      <c r="C92" s="8" t="n"/>
      <c r="D92" s="8" t="n"/>
      <c r="E92" s="9" t="n"/>
      <c r="F92" s="8" t="n"/>
      <c r="G92" s="19">
        <f>IF($A92="","",DATE(YEAR($A92),MONTH($A92),1))</f>
        <v/>
      </c>
      <c r="H92" s="14">
        <f>IF($B92="","",SUMIFS(Contracts!$C$5:$C$204,Contracts!$A$5:$A$204,$B92))</f>
        <v/>
      </c>
      <c r="I92" s="14">
        <f>IF($B92="","",SUMIFS($E$5:$E$204,$B$5:$B$204,$B92))</f>
        <v/>
      </c>
      <c r="J92" s="15">
        <f>IF($B92="","",IFERROR($I92/$H92,0))</f>
        <v/>
      </c>
      <c r="K92" s="20">
        <f>IF($A92="","",IF(COUNTIF(Contracts!$A$5:$A$204,$B92)=0,"No contract row for this vendor",IF(COUNTIF(Vendors!$A$5:$A$104,$B92)=0,"Not on the Vendors tab","")))</f>
        <v/>
      </c>
      <c r="L92" s="8" t="n"/>
    </row>
    <row r="93">
      <c r="A93" s="10" t="n"/>
      <c r="B93" s="8" t="n"/>
      <c r="C93" s="8" t="n"/>
      <c r="D93" s="8" t="n"/>
      <c r="E93" s="9" t="n"/>
      <c r="F93" s="8" t="n"/>
      <c r="G93" s="19">
        <f>IF($A93="","",DATE(YEAR($A93),MONTH($A93),1))</f>
        <v/>
      </c>
      <c r="H93" s="14">
        <f>IF($B93="","",SUMIFS(Contracts!$C$5:$C$204,Contracts!$A$5:$A$204,$B93))</f>
        <v/>
      </c>
      <c r="I93" s="14">
        <f>IF($B93="","",SUMIFS($E$5:$E$204,$B$5:$B$204,$B93))</f>
        <v/>
      </c>
      <c r="J93" s="15">
        <f>IF($B93="","",IFERROR($I93/$H93,0))</f>
        <v/>
      </c>
      <c r="K93" s="20">
        <f>IF($A93="","",IF(COUNTIF(Contracts!$A$5:$A$204,$B93)=0,"No contract row for this vendor",IF(COUNTIF(Vendors!$A$5:$A$104,$B93)=0,"Not on the Vendors tab","")))</f>
        <v/>
      </c>
      <c r="L93" s="8" t="n"/>
    </row>
    <row r="94">
      <c r="A94" s="10" t="n"/>
      <c r="B94" s="8" t="n"/>
      <c r="C94" s="8" t="n"/>
      <c r="D94" s="8" t="n"/>
      <c r="E94" s="9" t="n"/>
      <c r="F94" s="8" t="n"/>
      <c r="G94" s="19">
        <f>IF($A94="","",DATE(YEAR($A94),MONTH($A94),1))</f>
        <v/>
      </c>
      <c r="H94" s="14">
        <f>IF($B94="","",SUMIFS(Contracts!$C$5:$C$204,Contracts!$A$5:$A$204,$B94))</f>
        <v/>
      </c>
      <c r="I94" s="14">
        <f>IF($B94="","",SUMIFS($E$5:$E$204,$B$5:$B$204,$B94))</f>
        <v/>
      </c>
      <c r="J94" s="15">
        <f>IF($B94="","",IFERROR($I94/$H94,0))</f>
        <v/>
      </c>
      <c r="K94" s="20">
        <f>IF($A94="","",IF(COUNTIF(Contracts!$A$5:$A$204,$B94)=0,"No contract row for this vendor",IF(COUNTIF(Vendors!$A$5:$A$104,$B94)=0,"Not on the Vendors tab","")))</f>
        <v/>
      </c>
      <c r="L94" s="8" t="n"/>
    </row>
    <row r="95">
      <c r="A95" s="10" t="n"/>
      <c r="B95" s="8" t="n"/>
      <c r="C95" s="8" t="n"/>
      <c r="D95" s="8" t="n"/>
      <c r="E95" s="9" t="n"/>
      <c r="F95" s="8" t="n"/>
      <c r="G95" s="19">
        <f>IF($A95="","",DATE(YEAR($A95),MONTH($A95),1))</f>
        <v/>
      </c>
      <c r="H95" s="14">
        <f>IF($B95="","",SUMIFS(Contracts!$C$5:$C$204,Contracts!$A$5:$A$204,$B95))</f>
        <v/>
      </c>
      <c r="I95" s="14">
        <f>IF($B95="","",SUMIFS($E$5:$E$204,$B$5:$B$204,$B95))</f>
        <v/>
      </c>
      <c r="J95" s="15">
        <f>IF($B95="","",IFERROR($I95/$H95,0))</f>
        <v/>
      </c>
      <c r="K95" s="20">
        <f>IF($A95="","",IF(COUNTIF(Contracts!$A$5:$A$204,$B95)=0,"No contract row for this vendor",IF(COUNTIF(Vendors!$A$5:$A$104,$B95)=0,"Not on the Vendors tab","")))</f>
        <v/>
      </c>
      <c r="L95" s="8" t="n"/>
    </row>
    <row r="96">
      <c r="A96" s="10" t="n"/>
      <c r="B96" s="8" t="n"/>
      <c r="C96" s="8" t="n"/>
      <c r="D96" s="8" t="n"/>
      <c r="E96" s="9" t="n"/>
      <c r="F96" s="8" t="n"/>
      <c r="G96" s="19">
        <f>IF($A96="","",DATE(YEAR($A96),MONTH($A96),1))</f>
        <v/>
      </c>
      <c r="H96" s="14">
        <f>IF($B96="","",SUMIFS(Contracts!$C$5:$C$204,Contracts!$A$5:$A$204,$B96))</f>
        <v/>
      </c>
      <c r="I96" s="14">
        <f>IF($B96="","",SUMIFS($E$5:$E$204,$B$5:$B$204,$B96))</f>
        <v/>
      </c>
      <c r="J96" s="15">
        <f>IF($B96="","",IFERROR($I96/$H96,0))</f>
        <v/>
      </c>
      <c r="K96" s="20">
        <f>IF($A96="","",IF(COUNTIF(Contracts!$A$5:$A$204,$B96)=0,"No contract row for this vendor",IF(COUNTIF(Vendors!$A$5:$A$104,$B96)=0,"Not on the Vendors tab","")))</f>
        <v/>
      </c>
      <c r="L96" s="8" t="n"/>
    </row>
    <row r="97">
      <c r="A97" s="10" t="n"/>
      <c r="B97" s="8" t="n"/>
      <c r="C97" s="8" t="n"/>
      <c r="D97" s="8" t="n"/>
      <c r="E97" s="9" t="n"/>
      <c r="F97" s="8" t="n"/>
      <c r="G97" s="19">
        <f>IF($A97="","",DATE(YEAR($A97),MONTH($A97),1))</f>
        <v/>
      </c>
      <c r="H97" s="14">
        <f>IF($B97="","",SUMIFS(Contracts!$C$5:$C$204,Contracts!$A$5:$A$204,$B97))</f>
        <v/>
      </c>
      <c r="I97" s="14">
        <f>IF($B97="","",SUMIFS($E$5:$E$204,$B$5:$B$204,$B97))</f>
        <v/>
      </c>
      <c r="J97" s="15">
        <f>IF($B97="","",IFERROR($I97/$H97,0))</f>
        <v/>
      </c>
      <c r="K97" s="20">
        <f>IF($A97="","",IF(COUNTIF(Contracts!$A$5:$A$204,$B97)=0,"No contract row for this vendor",IF(COUNTIF(Vendors!$A$5:$A$104,$B97)=0,"Not on the Vendors tab","")))</f>
        <v/>
      </c>
      <c r="L97" s="8" t="n"/>
    </row>
    <row r="98">
      <c r="A98" s="10" t="n"/>
      <c r="B98" s="8" t="n"/>
      <c r="C98" s="8" t="n"/>
      <c r="D98" s="8" t="n"/>
      <c r="E98" s="9" t="n"/>
      <c r="F98" s="8" t="n"/>
      <c r="G98" s="19">
        <f>IF($A98="","",DATE(YEAR($A98),MONTH($A98),1))</f>
        <v/>
      </c>
      <c r="H98" s="14">
        <f>IF($B98="","",SUMIFS(Contracts!$C$5:$C$204,Contracts!$A$5:$A$204,$B98))</f>
        <v/>
      </c>
      <c r="I98" s="14">
        <f>IF($B98="","",SUMIFS($E$5:$E$204,$B$5:$B$204,$B98))</f>
        <v/>
      </c>
      <c r="J98" s="15">
        <f>IF($B98="","",IFERROR($I98/$H98,0))</f>
        <v/>
      </c>
      <c r="K98" s="20">
        <f>IF($A98="","",IF(COUNTIF(Contracts!$A$5:$A$204,$B98)=0,"No contract row for this vendor",IF(COUNTIF(Vendors!$A$5:$A$104,$B98)=0,"Not on the Vendors tab","")))</f>
        <v/>
      </c>
      <c r="L98" s="8" t="n"/>
    </row>
    <row r="99">
      <c r="A99" s="10" t="n"/>
      <c r="B99" s="8" t="n"/>
      <c r="C99" s="8" t="n"/>
      <c r="D99" s="8" t="n"/>
      <c r="E99" s="9" t="n"/>
      <c r="F99" s="8" t="n"/>
      <c r="G99" s="19">
        <f>IF($A99="","",DATE(YEAR($A99),MONTH($A99),1))</f>
        <v/>
      </c>
      <c r="H99" s="14">
        <f>IF($B99="","",SUMIFS(Contracts!$C$5:$C$204,Contracts!$A$5:$A$204,$B99))</f>
        <v/>
      </c>
      <c r="I99" s="14">
        <f>IF($B99="","",SUMIFS($E$5:$E$204,$B$5:$B$204,$B99))</f>
        <v/>
      </c>
      <c r="J99" s="15">
        <f>IF($B99="","",IFERROR($I99/$H99,0))</f>
        <v/>
      </c>
      <c r="K99" s="20">
        <f>IF($A99="","",IF(COUNTIF(Contracts!$A$5:$A$204,$B99)=0,"No contract row for this vendor",IF(COUNTIF(Vendors!$A$5:$A$104,$B99)=0,"Not on the Vendors tab","")))</f>
        <v/>
      </c>
      <c r="L99" s="8" t="n"/>
    </row>
    <row r="100">
      <c r="A100" s="10" t="n"/>
      <c r="B100" s="8" t="n"/>
      <c r="C100" s="8" t="n"/>
      <c r="D100" s="8" t="n"/>
      <c r="E100" s="9" t="n"/>
      <c r="F100" s="8" t="n"/>
      <c r="G100" s="19">
        <f>IF($A100="","",DATE(YEAR($A100),MONTH($A100),1))</f>
        <v/>
      </c>
      <c r="H100" s="14">
        <f>IF($B100="","",SUMIFS(Contracts!$C$5:$C$204,Contracts!$A$5:$A$204,$B100))</f>
        <v/>
      </c>
      <c r="I100" s="14">
        <f>IF($B100="","",SUMIFS($E$5:$E$204,$B$5:$B$204,$B100))</f>
        <v/>
      </c>
      <c r="J100" s="15">
        <f>IF($B100="","",IFERROR($I100/$H100,0))</f>
        <v/>
      </c>
      <c r="K100" s="20">
        <f>IF($A100="","",IF(COUNTIF(Contracts!$A$5:$A$204,$B100)=0,"No contract row for this vendor",IF(COUNTIF(Vendors!$A$5:$A$104,$B100)=0,"Not on the Vendors tab","")))</f>
        <v/>
      </c>
      <c r="L100" s="8" t="n"/>
    </row>
    <row r="101">
      <c r="A101" s="10" t="n"/>
      <c r="B101" s="8" t="n"/>
      <c r="C101" s="8" t="n"/>
      <c r="D101" s="8" t="n"/>
      <c r="E101" s="9" t="n"/>
      <c r="F101" s="8" t="n"/>
      <c r="G101" s="19">
        <f>IF($A101="","",DATE(YEAR($A101),MONTH($A101),1))</f>
        <v/>
      </c>
      <c r="H101" s="14">
        <f>IF($B101="","",SUMIFS(Contracts!$C$5:$C$204,Contracts!$A$5:$A$204,$B101))</f>
        <v/>
      </c>
      <c r="I101" s="14">
        <f>IF($B101="","",SUMIFS($E$5:$E$204,$B$5:$B$204,$B101))</f>
        <v/>
      </c>
      <c r="J101" s="15">
        <f>IF($B101="","",IFERROR($I101/$H101,0))</f>
        <v/>
      </c>
      <c r="K101" s="20">
        <f>IF($A101="","",IF(COUNTIF(Contracts!$A$5:$A$204,$B101)=0,"No contract row for this vendor",IF(COUNTIF(Vendors!$A$5:$A$104,$B101)=0,"Not on the Vendors tab","")))</f>
        <v/>
      </c>
      <c r="L101" s="8" t="n"/>
    </row>
    <row r="102">
      <c r="A102" s="10" t="n"/>
      <c r="B102" s="8" t="n"/>
      <c r="C102" s="8" t="n"/>
      <c r="D102" s="8" t="n"/>
      <c r="E102" s="9" t="n"/>
      <c r="F102" s="8" t="n"/>
      <c r="G102" s="19">
        <f>IF($A102="","",DATE(YEAR($A102),MONTH($A102),1))</f>
        <v/>
      </c>
      <c r="H102" s="14">
        <f>IF($B102="","",SUMIFS(Contracts!$C$5:$C$204,Contracts!$A$5:$A$204,$B102))</f>
        <v/>
      </c>
      <c r="I102" s="14">
        <f>IF($B102="","",SUMIFS($E$5:$E$204,$B$5:$B$204,$B102))</f>
        <v/>
      </c>
      <c r="J102" s="15">
        <f>IF($B102="","",IFERROR($I102/$H102,0))</f>
        <v/>
      </c>
      <c r="K102" s="20">
        <f>IF($A102="","",IF(COUNTIF(Contracts!$A$5:$A$204,$B102)=0,"No contract row for this vendor",IF(COUNTIF(Vendors!$A$5:$A$104,$B102)=0,"Not on the Vendors tab","")))</f>
        <v/>
      </c>
      <c r="L102" s="8" t="n"/>
    </row>
    <row r="103">
      <c r="A103" s="10" t="n"/>
      <c r="B103" s="8" t="n"/>
      <c r="C103" s="8" t="n"/>
      <c r="D103" s="8" t="n"/>
      <c r="E103" s="9" t="n"/>
      <c r="F103" s="8" t="n"/>
      <c r="G103" s="19">
        <f>IF($A103="","",DATE(YEAR($A103),MONTH($A103),1))</f>
        <v/>
      </c>
      <c r="H103" s="14">
        <f>IF($B103="","",SUMIFS(Contracts!$C$5:$C$204,Contracts!$A$5:$A$204,$B103))</f>
        <v/>
      </c>
      <c r="I103" s="14">
        <f>IF($B103="","",SUMIFS($E$5:$E$204,$B$5:$B$204,$B103))</f>
        <v/>
      </c>
      <c r="J103" s="15">
        <f>IF($B103="","",IFERROR($I103/$H103,0))</f>
        <v/>
      </c>
      <c r="K103" s="20">
        <f>IF($A103="","",IF(COUNTIF(Contracts!$A$5:$A$204,$B103)=0,"No contract row for this vendor",IF(COUNTIF(Vendors!$A$5:$A$104,$B103)=0,"Not on the Vendors tab","")))</f>
        <v/>
      </c>
      <c r="L103" s="8" t="n"/>
    </row>
    <row r="104">
      <c r="A104" s="10" t="n"/>
      <c r="B104" s="8" t="n"/>
      <c r="C104" s="8" t="n"/>
      <c r="D104" s="8" t="n"/>
      <c r="E104" s="9" t="n"/>
      <c r="F104" s="8" t="n"/>
      <c r="G104" s="19">
        <f>IF($A104="","",DATE(YEAR($A104),MONTH($A104),1))</f>
        <v/>
      </c>
      <c r="H104" s="14">
        <f>IF($B104="","",SUMIFS(Contracts!$C$5:$C$204,Contracts!$A$5:$A$204,$B104))</f>
        <v/>
      </c>
      <c r="I104" s="14">
        <f>IF($B104="","",SUMIFS($E$5:$E$204,$B$5:$B$204,$B104))</f>
        <v/>
      </c>
      <c r="J104" s="15">
        <f>IF($B104="","",IFERROR($I104/$H104,0))</f>
        <v/>
      </c>
      <c r="K104" s="20">
        <f>IF($A104="","",IF(COUNTIF(Contracts!$A$5:$A$204,$B104)=0,"No contract row for this vendor",IF(COUNTIF(Vendors!$A$5:$A$104,$B104)=0,"Not on the Vendors tab","")))</f>
        <v/>
      </c>
      <c r="L104" s="8" t="n"/>
    </row>
    <row r="105">
      <c r="A105" s="10" t="n"/>
      <c r="B105" s="8" t="n"/>
      <c r="C105" s="8" t="n"/>
      <c r="D105" s="8" t="n"/>
      <c r="E105" s="9" t="n"/>
      <c r="F105" s="8" t="n"/>
      <c r="G105" s="19">
        <f>IF($A105="","",DATE(YEAR($A105),MONTH($A105),1))</f>
        <v/>
      </c>
      <c r="H105" s="14">
        <f>IF($B105="","",SUMIFS(Contracts!$C$5:$C$204,Contracts!$A$5:$A$204,$B105))</f>
        <v/>
      </c>
      <c r="I105" s="14">
        <f>IF($B105="","",SUMIFS($E$5:$E$204,$B$5:$B$204,$B105))</f>
        <v/>
      </c>
      <c r="J105" s="15">
        <f>IF($B105="","",IFERROR($I105/$H105,0))</f>
        <v/>
      </c>
      <c r="K105" s="20">
        <f>IF($A105="","",IF(COUNTIF(Contracts!$A$5:$A$204,$B105)=0,"No contract row for this vendor",IF(COUNTIF(Vendors!$A$5:$A$104,$B105)=0,"Not on the Vendors tab","")))</f>
        <v/>
      </c>
      <c r="L105" s="8" t="n"/>
    </row>
    <row r="106">
      <c r="A106" s="10" t="n"/>
      <c r="B106" s="8" t="n"/>
      <c r="C106" s="8" t="n"/>
      <c r="D106" s="8" t="n"/>
      <c r="E106" s="9" t="n"/>
      <c r="F106" s="8" t="n"/>
      <c r="G106" s="19">
        <f>IF($A106="","",DATE(YEAR($A106),MONTH($A106),1))</f>
        <v/>
      </c>
      <c r="H106" s="14">
        <f>IF($B106="","",SUMIFS(Contracts!$C$5:$C$204,Contracts!$A$5:$A$204,$B106))</f>
        <v/>
      </c>
      <c r="I106" s="14">
        <f>IF($B106="","",SUMIFS($E$5:$E$204,$B$5:$B$204,$B106))</f>
        <v/>
      </c>
      <c r="J106" s="15">
        <f>IF($B106="","",IFERROR($I106/$H106,0))</f>
        <v/>
      </c>
      <c r="K106" s="20">
        <f>IF($A106="","",IF(COUNTIF(Contracts!$A$5:$A$204,$B106)=0,"No contract row for this vendor",IF(COUNTIF(Vendors!$A$5:$A$104,$B106)=0,"Not on the Vendors tab","")))</f>
        <v/>
      </c>
      <c r="L106" s="8" t="n"/>
    </row>
    <row r="107">
      <c r="A107" s="10" t="n"/>
      <c r="B107" s="8" t="n"/>
      <c r="C107" s="8" t="n"/>
      <c r="D107" s="8" t="n"/>
      <c r="E107" s="9" t="n"/>
      <c r="F107" s="8" t="n"/>
      <c r="G107" s="19">
        <f>IF($A107="","",DATE(YEAR($A107),MONTH($A107),1))</f>
        <v/>
      </c>
      <c r="H107" s="14">
        <f>IF($B107="","",SUMIFS(Contracts!$C$5:$C$204,Contracts!$A$5:$A$204,$B107))</f>
        <v/>
      </c>
      <c r="I107" s="14">
        <f>IF($B107="","",SUMIFS($E$5:$E$204,$B$5:$B$204,$B107))</f>
        <v/>
      </c>
      <c r="J107" s="15">
        <f>IF($B107="","",IFERROR($I107/$H107,0))</f>
        <v/>
      </c>
      <c r="K107" s="20">
        <f>IF($A107="","",IF(COUNTIF(Contracts!$A$5:$A$204,$B107)=0,"No contract row for this vendor",IF(COUNTIF(Vendors!$A$5:$A$104,$B107)=0,"Not on the Vendors tab","")))</f>
        <v/>
      </c>
      <c r="L107" s="8" t="n"/>
    </row>
    <row r="108">
      <c r="A108" s="10" t="n"/>
      <c r="B108" s="8" t="n"/>
      <c r="C108" s="8" t="n"/>
      <c r="D108" s="8" t="n"/>
      <c r="E108" s="9" t="n"/>
      <c r="F108" s="8" t="n"/>
      <c r="G108" s="19">
        <f>IF($A108="","",DATE(YEAR($A108),MONTH($A108),1))</f>
        <v/>
      </c>
      <c r="H108" s="14">
        <f>IF($B108="","",SUMIFS(Contracts!$C$5:$C$204,Contracts!$A$5:$A$204,$B108))</f>
        <v/>
      </c>
      <c r="I108" s="14">
        <f>IF($B108="","",SUMIFS($E$5:$E$204,$B$5:$B$204,$B108))</f>
        <v/>
      </c>
      <c r="J108" s="15">
        <f>IF($B108="","",IFERROR($I108/$H108,0))</f>
        <v/>
      </c>
      <c r="K108" s="20">
        <f>IF($A108="","",IF(COUNTIF(Contracts!$A$5:$A$204,$B108)=0,"No contract row for this vendor",IF(COUNTIF(Vendors!$A$5:$A$104,$B108)=0,"Not on the Vendors tab","")))</f>
        <v/>
      </c>
      <c r="L108" s="8" t="n"/>
    </row>
    <row r="109">
      <c r="A109" s="10" t="n"/>
      <c r="B109" s="8" t="n"/>
      <c r="C109" s="8" t="n"/>
      <c r="D109" s="8" t="n"/>
      <c r="E109" s="9" t="n"/>
      <c r="F109" s="8" t="n"/>
      <c r="G109" s="19">
        <f>IF($A109="","",DATE(YEAR($A109),MONTH($A109),1))</f>
        <v/>
      </c>
      <c r="H109" s="14">
        <f>IF($B109="","",SUMIFS(Contracts!$C$5:$C$204,Contracts!$A$5:$A$204,$B109))</f>
        <v/>
      </c>
      <c r="I109" s="14">
        <f>IF($B109="","",SUMIFS($E$5:$E$204,$B$5:$B$204,$B109))</f>
        <v/>
      </c>
      <c r="J109" s="15">
        <f>IF($B109="","",IFERROR($I109/$H109,0))</f>
        <v/>
      </c>
      <c r="K109" s="20">
        <f>IF($A109="","",IF(COUNTIF(Contracts!$A$5:$A$204,$B109)=0,"No contract row for this vendor",IF(COUNTIF(Vendors!$A$5:$A$104,$B109)=0,"Not on the Vendors tab","")))</f>
        <v/>
      </c>
      <c r="L109" s="8" t="n"/>
    </row>
    <row r="110">
      <c r="A110" s="10" t="n"/>
      <c r="B110" s="8" t="n"/>
      <c r="C110" s="8" t="n"/>
      <c r="D110" s="8" t="n"/>
      <c r="E110" s="9" t="n"/>
      <c r="F110" s="8" t="n"/>
      <c r="G110" s="19">
        <f>IF($A110="","",DATE(YEAR($A110),MONTH($A110),1))</f>
        <v/>
      </c>
      <c r="H110" s="14">
        <f>IF($B110="","",SUMIFS(Contracts!$C$5:$C$204,Contracts!$A$5:$A$204,$B110))</f>
        <v/>
      </c>
      <c r="I110" s="14">
        <f>IF($B110="","",SUMIFS($E$5:$E$204,$B$5:$B$204,$B110))</f>
        <v/>
      </c>
      <c r="J110" s="15">
        <f>IF($B110="","",IFERROR($I110/$H110,0))</f>
        <v/>
      </c>
      <c r="K110" s="20">
        <f>IF($A110="","",IF(COUNTIF(Contracts!$A$5:$A$204,$B110)=0,"No contract row for this vendor",IF(COUNTIF(Vendors!$A$5:$A$104,$B110)=0,"Not on the Vendors tab","")))</f>
        <v/>
      </c>
      <c r="L110" s="8" t="n"/>
    </row>
    <row r="111">
      <c r="A111" s="10" t="n"/>
      <c r="B111" s="8" t="n"/>
      <c r="C111" s="8" t="n"/>
      <c r="D111" s="8" t="n"/>
      <c r="E111" s="9" t="n"/>
      <c r="F111" s="8" t="n"/>
      <c r="G111" s="19">
        <f>IF($A111="","",DATE(YEAR($A111),MONTH($A111),1))</f>
        <v/>
      </c>
      <c r="H111" s="14">
        <f>IF($B111="","",SUMIFS(Contracts!$C$5:$C$204,Contracts!$A$5:$A$204,$B111))</f>
        <v/>
      </c>
      <c r="I111" s="14">
        <f>IF($B111="","",SUMIFS($E$5:$E$204,$B$5:$B$204,$B111))</f>
        <v/>
      </c>
      <c r="J111" s="15">
        <f>IF($B111="","",IFERROR($I111/$H111,0))</f>
        <v/>
      </c>
      <c r="K111" s="20">
        <f>IF($A111="","",IF(COUNTIF(Contracts!$A$5:$A$204,$B111)=0,"No contract row for this vendor",IF(COUNTIF(Vendors!$A$5:$A$104,$B111)=0,"Not on the Vendors tab","")))</f>
        <v/>
      </c>
      <c r="L111" s="8" t="n"/>
    </row>
    <row r="112">
      <c r="A112" s="10" t="n"/>
      <c r="B112" s="8" t="n"/>
      <c r="C112" s="8" t="n"/>
      <c r="D112" s="8" t="n"/>
      <c r="E112" s="9" t="n"/>
      <c r="F112" s="8" t="n"/>
      <c r="G112" s="19">
        <f>IF($A112="","",DATE(YEAR($A112),MONTH($A112),1))</f>
        <v/>
      </c>
      <c r="H112" s="14">
        <f>IF($B112="","",SUMIFS(Contracts!$C$5:$C$204,Contracts!$A$5:$A$204,$B112))</f>
        <v/>
      </c>
      <c r="I112" s="14">
        <f>IF($B112="","",SUMIFS($E$5:$E$204,$B$5:$B$204,$B112))</f>
        <v/>
      </c>
      <c r="J112" s="15">
        <f>IF($B112="","",IFERROR($I112/$H112,0))</f>
        <v/>
      </c>
      <c r="K112" s="20">
        <f>IF($A112="","",IF(COUNTIF(Contracts!$A$5:$A$204,$B112)=0,"No contract row for this vendor",IF(COUNTIF(Vendors!$A$5:$A$104,$B112)=0,"Not on the Vendors tab","")))</f>
        <v/>
      </c>
      <c r="L112" s="8" t="n"/>
    </row>
    <row r="113">
      <c r="A113" s="10" t="n"/>
      <c r="B113" s="8" t="n"/>
      <c r="C113" s="8" t="n"/>
      <c r="D113" s="8" t="n"/>
      <c r="E113" s="9" t="n"/>
      <c r="F113" s="8" t="n"/>
      <c r="G113" s="19">
        <f>IF($A113="","",DATE(YEAR($A113),MONTH($A113),1))</f>
        <v/>
      </c>
      <c r="H113" s="14">
        <f>IF($B113="","",SUMIFS(Contracts!$C$5:$C$204,Contracts!$A$5:$A$204,$B113))</f>
        <v/>
      </c>
      <c r="I113" s="14">
        <f>IF($B113="","",SUMIFS($E$5:$E$204,$B$5:$B$204,$B113))</f>
        <v/>
      </c>
      <c r="J113" s="15">
        <f>IF($B113="","",IFERROR($I113/$H113,0))</f>
        <v/>
      </c>
      <c r="K113" s="20">
        <f>IF($A113="","",IF(COUNTIF(Contracts!$A$5:$A$204,$B113)=0,"No contract row for this vendor",IF(COUNTIF(Vendors!$A$5:$A$104,$B113)=0,"Not on the Vendors tab","")))</f>
        <v/>
      </c>
      <c r="L113" s="8" t="n"/>
    </row>
    <row r="114">
      <c r="A114" s="10" t="n"/>
      <c r="B114" s="8" t="n"/>
      <c r="C114" s="8" t="n"/>
      <c r="D114" s="8" t="n"/>
      <c r="E114" s="9" t="n"/>
      <c r="F114" s="8" t="n"/>
      <c r="G114" s="19">
        <f>IF($A114="","",DATE(YEAR($A114),MONTH($A114),1))</f>
        <v/>
      </c>
      <c r="H114" s="14">
        <f>IF($B114="","",SUMIFS(Contracts!$C$5:$C$204,Contracts!$A$5:$A$204,$B114))</f>
        <v/>
      </c>
      <c r="I114" s="14">
        <f>IF($B114="","",SUMIFS($E$5:$E$204,$B$5:$B$204,$B114))</f>
        <v/>
      </c>
      <c r="J114" s="15">
        <f>IF($B114="","",IFERROR($I114/$H114,0))</f>
        <v/>
      </c>
      <c r="K114" s="20">
        <f>IF($A114="","",IF(COUNTIF(Contracts!$A$5:$A$204,$B114)=0,"No contract row for this vendor",IF(COUNTIF(Vendors!$A$5:$A$104,$B114)=0,"Not on the Vendors tab","")))</f>
        <v/>
      </c>
      <c r="L114" s="8" t="n"/>
    </row>
    <row r="115">
      <c r="A115" s="10" t="n"/>
      <c r="B115" s="8" t="n"/>
      <c r="C115" s="8" t="n"/>
      <c r="D115" s="8" t="n"/>
      <c r="E115" s="9" t="n"/>
      <c r="F115" s="8" t="n"/>
      <c r="G115" s="19">
        <f>IF($A115="","",DATE(YEAR($A115),MONTH($A115),1))</f>
        <v/>
      </c>
      <c r="H115" s="14">
        <f>IF($B115="","",SUMIFS(Contracts!$C$5:$C$204,Contracts!$A$5:$A$204,$B115))</f>
        <v/>
      </c>
      <c r="I115" s="14">
        <f>IF($B115="","",SUMIFS($E$5:$E$204,$B$5:$B$204,$B115))</f>
        <v/>
      </c>
      <c r="J115" s="15">
        <f>IF($B115="","",IFERROR($I115/$H115,0))</f>
        <v/>
      </c>
      <c r="K115" s="20">
        <f>IF($A115="","",IF(COUNTIF(Contracts!$A$5:$A$204,$B115)=0,"No contract row for this vendor",IF(COUNTIF(Vendors!$A$5:$A$104,$B115)=0,"Not on the Vendors tab","")))</f>
        <v/>
      </c>
      <c r="L115" s="8" t="n"/>
    </row>
    <row r="116">
      <c r="A116" s="10" t="n"/>
      <c r="B116" s="8" t="n"/>
      <c r="C116" s="8" t="n"/>
      <c r="D116" s="8" t="n"/>
      <c r="E116" s="9" t="n"/>
      <c r="F116" s="8" t="n"/>
      <c r="G116" s="19">
        <f>IF($A116="","",DATE(YEAR($A116),MONTH($A116),1))</f>
        <v/>
      </c>
      <c r="H116" s="14">
        <f>IF($B116="","",SUMIFS(Contracts!$C$5:$C$204,Contracts!$A$5:$A$204,$B116))</f>
        <v/>
      </c>
      <c r="I116" s="14">
        <f>IF($B116="","",SUMIFS($E$5:$E$204,$B$5:$B$204,$B116))</f>
        <v/>
      </c>
      <c r="J116" s="15">
        <f>IF($B116="","",IFERROR($I116/$H116,0))</f>
        <v/>
      </c>
      <c r="K116" s="20">
        <f>IF($A116="","",IF(COUNTIF(Contracts!$A$5:$A$204,$B116)=0,"No contract row for this vendor",IF(COUNTIF(Vendors!$A$5:$A$104,$B116)=0,"Not on the Vendors tab","")))</f>
        <v/>
      </c>
      <c r="L116" s="8" t="n"/>
    </row>
    <row r="117">
      <c r="A117" s="10" t="n"/>
      <c r="B117" s="8" t="n"/>
      <c r="C117" s="8" t="n"/>
      <c r="D117" s="8" t="n"/>
      <c r="E117" s="9" t="n"/>
      <c r="F117" s="8" t="n"/>
      <c r="G117" s="19">
        <f>IF($A117="","",DATE(YEAR($A117),MONTH($A117),1))</f>
        <v/>
      </c>
      <c r="H117" s="14">
        <f>IF($B117="","",SUMIFS(Contracts!$C$5:$C$204,Contracts!$A$5:$A$204,$B117))</f>
        <v/>
      </c>
      <c r="I117" s="14">
        <f>IF($B117="","",SUMIFS($E$5:$E$204,$B$5:$B$204,$B117))</f>
        <v/>
      </c>
      <c r="J117" s="15">
        <f>IF($B117="","",IFERROR($I117/$H117,0))</f>
        <v/>
      </c>
      <c r="K117" s="20">
        <f>IF($A117="","",IF(COUNTIF(Contracts!$A$5:$A$204,$B117)=0,"No contract row for this vendor",IF(COUNTIF(Vendors!$A$5:$A$104,$B117)=0,"Not on the Vendors tab","")))</f>
        <v/>
      </c>
      <c r="L117" s="8" t="n"/>
    </row>
    <row r="118">
      <c r="A118" s="10" t="n"/>
      <c r="B118" s="8" t="n"/>
      <c r="C118" s="8" t="n"/>
      <c r="D118" s="8" t="n"/>
      <c r="E118" s="9" t="n"/>
      <c r="F118" s="8" t="n"/>
      <c r="G118" s="19">
        <f>IF($A118="","",DATE(YEAR($A118),MONTH($A118),1))</f>
        <v/>
      </c>
      <c r="H118" s="14">
        <f>IF($B118="","",SUMIFS(Contracts!$C$5:$C$204,Contracts!$A$5:$A$204,$B118))</f>
        <v/>
      </c>
      <c r="I118" s="14">
        <f>IF($B118="","",SUMIFS($E$5:$E$204,$B$5:$B$204,$B118))</f>
        <v/>
      </c>
      <c r="J118" s="15">
        <f>IF($B118="","",IFERROR($I118/$H118,0))</f>
        <v/>
      </c>
      <c r="K118" s="20">
        <f>IF($A118="","",IF(COUNTIF(Contracts!$A$5:$A$204,$B118)=0,"No contract row for this vendor",IF(COUNTIF(Vendors!$A$5:$A$104,$B118)=0,"Not on the Vendors tab","")))</f>
        <v/>
      </c>
      <c r="L118" s="8" t="n"/>
    </row>
    <row r="119">
      <c r="A119" s="10" t="n"/>
      <c r="B119" s="8" t="n"/>
      <c r="C119" s="8" t="n"/>
      <c r="D119" s="8" t="n"/>
      <c r="E119" s="9" t="n"/>
      <c r="F119" s="8" t="n"/>
      <c r="G119" s="19">
        <f>IF($A119="","",DATE(YEAR($A119),MONTH($A119),1))</f>
        <v/>
      </c>
      <c r="H119" s="14">
        <f>IF($B119="","",SUMIFS(Contracts!$C$5:$C$204,Contracts!$A$5:$A$204,$B119))</f>
        <v/>
      </c>
      <c r="I119" s="14">
        <f>IF($B119="","",SUMIFS($E$5:$E$204,$B$5:$B$204,$B119))</f>
        <v/>
      </c>
      <c r="J119" s="15">
        <f>IF($B119="","",IFERROR($I119/$H119,0))</f>
        <v/>
      </c>
      <c r="K119" s="20">
        <f>IF($A119="","",IF(COUNTIF(Contracts!$A$5:$A$204,$B119)=0,"No contract row for this vendor",IF(COUNTIF(Vendors!$A$5:$A$104,$B119)=0,"Not on the Vendors tab","")))</f>
        <v/>
      </c>
      <c r="L119" s="8" t="n"/>
    </row>
    <row r="120">
      <c r="A120" s="10" t="n"/>
      <c r="B120" s="8" t="n"/>
      <c r="C120" s="8" t="n"/>
      <c r="D120" s="8" t="n"/>
      <c r="E120" s="9" t="n"/>
      <c r="F120" s="8" t="n"/>
      <c r="G120" s="19">
        <f>IF($A120="","",DATE(YEAR($A120),MONTH($A120),1))</f>
        <v/>
      </c>
      <c r="H120" s="14">
        <f>IF($B120="","",SUMIFS(Contracts!$C$5:$C$204,Contracts!$A$5:$A$204,$B120))</f>
        <v/>
      </c>
      <c r="I120" s="14">
        <f>IF($B120="","",SUMIFS($E$5:$E$204,$B$5:$B$204,$B120))</f>
        <v/>
      </c>
      <c r="J120" s="15">
        <f>IF($B120="","",IFERROR($I120/$H120,0))</f>
        <v/>
      </c>
      <c r="K120" s="20">
        <f>IF($A120="","",IF(COUNTIF(Contracts!$A$5:$A$204,$B120)=0,"No contract row for this vendor",IF(COUNTIF(Vendors!$A$5:$A$104,$B120)=0,"Not on the Vendors tab","")))</f>
        <v/>
      </c>
      <c r="L120" s="8" t="n"/>
    </row>
    <row r="121">
      <c r="A121" s="10" t="n"/>
      <c r="B121" s="8" t="n"/>
      <c r="C121" s="8" t="n"/>
      <c r="D121" s="8" t="n"/>
      <c r="E121" s="9" t="n"/>
      <c r="F121" s="8" t="n"/>
      <c r="G121" s="19">
        <f>IF($A121="","",DATE(YEAR($A121),MONTH($A121),1))</f>
        <v/>
      </c>
      <c r="H121" s="14">
        <f>IF($B121="","",SUMIFS(Contracts!$C$5:$C$204,Contracts!$A$5:$A$204,$B121))</f>
        <v/>
      </c>
      <c r="I121" s="14">
        <f>IF($B121="","",SUMIFS($E$5:$E$204,$B$5:$B$204,$B121))</f>
        <v/>
      </c>
      <c r="J121" s="15">
        <f>IF($B121="","",IFERROR($I121/$H121,0))</f>
        <v/>
      </c>
      <c r="K121" s="20">
        <f>IF($A121="","",IF(COUNTIF(Contracts!$A$5:$A$204,$B121)=0,"No contract row for this vendor",IF(COUNTIF(Vendors!$A$5:$A$104,$B121)=0,"Not on the Vendors tab","")))</f>
        <v/>
      </c>
      <c r="L121" s="8" t="n"/>
    </row>
    <row r="122">
      <c r="A122" s="10" t="n"/>
      <c r="B122" s="8" t="n"/>
      <c r="C122" s="8" t="n"/>
      <c r="D122" s="8" t="n"/>
      <c r="E122" s="9" t="n"/>
      <c r="F122" s="8" t="n"/>
      <c r="G122" s="19">
        <f>IF($A122="","",DATE(YEAR($A122),MONTH($A122),1))</f>
        <v/>
      </c>
      <c r="H122" s="14">
        <f>IF($B122="","",SUMIFS(Contracts!$C$5:$C$204,Contracts!$A$5:$A$204,$B122))</f>
        <v/>
      </c>
      <c r="I122" s="14">
        <f>IF($B122="","",SUMIFS($E$5:$E$204,$B$5:$B$204,$B122))</f>
        <v/>
      </c>
      <c r="J122" s="15">
        <f>IF($B122="","",IFERROR($I122/$H122,0))</f>
        <v/>
      </c>
      <c r="K122" s="20">
        <f>IF($A122="","",IF(COUNTIF(Contracts!$A$5:$A$204,$B122)=0,"No contract row for this vendor",IF(COUNTIF(Vendors!$A$5:$A$104,$B122)=0,"Not on the Vendors tab","")))</f>
        <v/>
      </c>
      <c r="L122" s="8" t="n"/>
    </row>
    <row r="123">
      <c r="A123" s="10" t="n"/>
      <c r="B123" s="8" t="n"/>
      <c r="C123" s="8" t="n"/>
      <c r="D123" s="8" t="n"/>
      <c r="E123" s="9" t="n"/>
      <c r="F123" s="8" t="n"/>
      <c r="G123" s="19">
        <f>IF($A123="","",DATE(YEAR($A123),MONTH($A123),1))</f>
        <v/>
      </c>
      <c r="H123" s="14">
        <f>IF($B123="","",SUMIFS(Contracts!$C$5:$C$204,Contracts!$A$5:$A$204,$B123))</f>
        <v/>
      </c>
      <c r="I123" s="14">
        <f>IF($B123="","",SUMIFS($E$5:$E$204,$B$5:$B$204,$B123))</f>
        <v/>
      </c>
      <c r="J123" s="15">
        <f>IF($B123="","",IFERROR($I123/$H123,0))</f>
        <v/>
      </c>
      <c r="K123" s="20">
        <f>IF($A123="","",IF(COUNTIF(Contracts!$A$5:$A$204,$B123)=0,"No contract row for this vendor",IF(COUNTIF(Vendors!$A$5:$A$104,$B123)=0,"Not on the Vendors tab","")))</f>
        <v/>
      </c>
      <c r="L123" s="8" t="n"/>
    </row>
    <row r="124">
      <c r="A124" s="10" t="n"/>
      <c r="B124" s="8" t="n"/>
      <c r="C124" s="8" t="n"/>
      <c r="D124" s="8" t="n"/>
      <c r="E124" s="9" t="n"/>
      <c r="F124" s="8" t="n"/>
      <c r="G124" s="19">
        <f>IF($A124="","",DATE(YEAR($A124),MONTH($A124),1))</f>
        <v/>
      </c>
      <c r="H124" s="14">
        <f>IF($B124="","",SUMIFS(Contracts!$C$5:$C$204,Contracts!$A$5:$A$204,$B124))</f>
        <v/>
      </c>
      <c r="I124" s="14">
        <f>IF($B124="","",SUMIFS($E$5:$E$204,$B$5:$B$204,$B124))</f>
        <v/>
      </c>
      <c r="J124" s="15">
        <f>IF($B124="","",IFERROR($I124/$H124,0))</f>
        <v/>
      </c>
      <c r="K124" s="20">
        <f>IF($A124="","",IF(COUNTIF(Contracts!$A$5:$A$204,$B124)=0,"No contract row for this vendor",IF(COUNTIF(Vendors!$A$5:$A$104,$B124)=0,"Not on the Vendors tab","")))</f>
        <v/>
      </c>
      <c r="L124" s="8" t="n"/>
    </row>
    <row r="125">
      <c r="A125" s="10" t="n"/>
      <c r="B125" s="8" t="n"/>
      <c r="C125" s="8" t="n"/>
      <c r="D125" s="8" t="n"/>
      <c r="E125" s="9" t="n"/>
      <c r="F125" s="8" t="n"/>
      <c r="G125" s="19">
        <f>IF($A125="","",DATE(YEAR($A125),MONTH($A125),1))</f>
        <v/>
      </c>
      <c r="H125" s="14">
        <f>IF($B125="","",SUMIFS(Contracts!$C$5:$C$204,Contracts!$A$5:$A$204,$B125))</f>
        <v/>
      </c>
      <c r="I125" s="14">
        <f>IF($B125="","",SUMIFS($E$5:$E$204,$B$5:$B$204,$B125))</f>
        <v/>
      </c>
      <c r="J125" s="15">
        <f>IF($B125="","",IFERROR($I125/$H125,0))</f>
        <v/>
      </c>
      <c r="K125" s="20">
        <f>IF($A125="","",IF(COUNTIF(Contracts!$A$5:$A$204,$B125)=0,"No contract row for this vendor",IF(COUNTIF(Vendors!$A$5:$A$104,$B125)=0,"Not on the Vendors tab","")))</f>
        <v/>
      </c>
      <c r="L125" s="8" t="n"/>
    </row>
    <row r="126">
      <c r="A126" s="10" t="n"/>
      <c r="B126" s="8" t="n"/>
      <c r="C126" s="8" t="n"/>
      <c r="D126" s="8" t="n"/>
      <c r="E126" s="9" t="n"/>
      <c r="F126" s="8" t="n"/>
      <c r="G126" s="19">
        <f>IF($A126="","",DATE(YEAR($A126),MONTH($A126),1))</f>
        <v/>
      </c>
      <c r="H126" s="14">
        <f>IF($B126="","",SUMIFS(Contracts!$C$5:$C$204,Contracts!$A$5:$A$204,$B126))</f>
        <v/>
      </c>
      <c r="I126" s="14">
        <f>IF($B126="","",SUMIFS($E$5:$E$204,$B$5:$B$204,$B126))</f>
        <v/>
      </c>
      <c r="J126" s="15">
        <f>IF($B126="","",IFERROR($I126/$H126,0))</f>
        <v/>
      </c>
      <c r="K126" s="20">
        <f>IF($A126="","",IF(COUNTIF(Contracts!$A$5:$A$204,$B126)=0,"No contract row for this vendor",IF(COUNTIF(Vendors!$A$5:$A$104,$B126)=0,"Not on the Vendors tab","")))</f>
        <v/>
      </c>
      <c r="L126" s="8" t="n"/>
    </row>
    <row r="127">
      <c r="A127" s="10" t="n"/>
      <c r="B127" s="8" t="n"/>
      <c r="C127" s="8" t="n"/>
      <c r="D127" s="8" t="n"/>
      <c r="E127" s="9" t="n"/>
      <c r="F127" s="8" t="n"/>
      <c r="G127" s="19">
        <f>IF($A127="","",DATE(YEAR($A127),MONTH($A127),1))</f>
        <v/>
      </c>
      <c r="H127" s="14">
        <f>IF($B127="","",SUMIFS(Contracts!$C$5:$C$204,Contracts!$A$5:$A$204,$B127))</f>
        <v/>
      </c>
      <c r="I127" s="14">
        <f>IF($B127="","",SUMIFS($E$5:$E$204,$B$5:$B$204,$B127))</f>
        <v/>
      </c>
      <c r="J127" s="15">
        <f>IF($B127="","",IFERROR($I127/$H127,0))</f>
        <v/>
      </c>
      <c r="K127" s="20">
        <f>IF($A127="","",IF(COUNTIF(Contracts!$A$5:$A$204,$B127)=0,"No contract row for this vendor",IF(COUNTIF(Vendors!$A$5:$A$104,$B127)=0,"Not on the Vendors tab","")))</f>
        <v/>
      </c>
      <c r="L127" s="8" t="n"/>
    </row>
    <row r="128">
      <c r="A128" s="10" t="n"/>
      <c r="B128" s="8" t="n"/>
      <c r="C128" s="8" t="n"/>
      <c r="D128" s="8" t="n"/>
      <c r="E128" s="9" t="n"/>
      <c r="F128" s="8" t="n"/>
      <c r="G128" s="19">
        <f>IF($A128="","",DATE(YEAR($A128),MONTH($A128),1))</f>
        <v/>
      </c>
      <c r="H128" s="14">
        <f>IF($B128="","",SUMIFS(Contracts!$C$5:$C$204,Contracts!$A$5:$A$204,$B128))</f>
        <v/>
      </c>
      <c r="I128" s="14">
        <f>IF($B128="","",SUMIFS($E$5:$E$204,$B$5:$B$204,$B128))</f>
        <v/>
      </c>
      <c r="J128" s="15">
        <f>IF($B128="","",IFERROR($I128/$H128,0))</f>
        <v/>
      </c>
      <c r="K128" s="20">
        <f>IF($A128="","",IF(COUNTIF(Contracts!$A$5:$A$204,$B128)=0,"No contract row for this vendor",IF(COUNTIF(Vendors!$A$5:$A$104,$B128)=0,"Not on the Vendors tab","")))</f>
        <v/>
      </c>
      <c r="L128" s="8" t="n"/>
    </row>
    <row r="129">
      <c r="A129" s="10" t="n"/>
      <c r="B129" s="8" t="n"/>
      <c r="C129" s="8" t="n"/>
      <c r="D129" s="8" t="n"/>
      <c r="E129" s="9" t="n"/>
      <c r="F129" s="8" t="n"/>
      <c r="G129" s="19">
        <f>IF($A129="","",DATE(YEAR($A129),MONTH($A129),1))</f>
        <v/>
      </c>
      <c r="H129" s="14">
        <f>IF($B129="","",SUMIFS(Contracts!$C$5:$C$204,Contracts!$A$5:$A$204,$B129))</f>
        <v/>
      </c>
      <c r="I129" s="14">
        <f>IF($B129="","",SUMIFS($E$5:$E$204,$B$5:$B$204,$B129))</f>
        <v/>
      </c>
      <c r="J129" s="15">
        <f>IF($B129="","",IFERROR($I129/$H129,0))</f>
        <v/>
      </c>
      <c r="K129" s="20">
        <f>IF($A129="","",IF(COUNTIF(Contracts!$A$5:$A$204,$B129)=0,"No contract row for this vendor",IF(COUNTIF(Vendors!$A$5:$A$104,$B129)=0,"Not on the Vendors tab","")))</f>
        <v/>
      </c>
      <c r="L129" s="8" t="n"/>
    </row>
    <row r="130">
      <c r="A130" s="10" t="n"/>
      <c r="B130" s="8" t="n"/>
      <c r="C130" s="8" t="n"/>
      <c r="D130" s="8" t="n"/>
      <c r="E130" s="9" t="n"/>
      <c r="F130" s="8" t="n"/>
      <c r="G130" s="19">
        <f>IF($A130="","",DATE(YEAR($A130),MONTH($A130),1))</f>
        <v/>
      </c>
      <c r="H130" s="14">
        <f>IF($B130="","",SUMIFS(Contracts!$C$5:$C$204,Contracts!$A$5:$A$204,$B130))</f>
        <v/>
      </c>
      <c r="I130" s="14">
        <f>IF($B130="","",SUMIFS($E$5:$E$204,$B$5:$B$204,$B130))</f>
        <v/>
      </c>
      <c r="J130" s="15">
        <f>IF($B130="","",IFERROR($I130/$H130,0))</f>
        <v/>
      </c>
      <c r="K130" s="20">
        <f>IF($A130="","",IF(COUNTIF(Contracts!$A$5:$A$204,$B130)=0,"No contract row for this vendor",IF(COUNTIF(Vendors!$A$5:$A$104,$B130)=0,"Not on the Vendors tab","")))</f>
        <v/>
      </c>
      <c r="L130" s="8" t="n"/>
    </row>
    <row r="131">
      <c r="A131" s="10" t="n"/>
      <c r="B131" s="8" t="n"/>
      <c r="C131" s="8" t="n"/>
      <c r="D131" s="8" t="n"/>
      <c r="E131" s="9" t="n"/>
      <c r="F131" s="8" t="n"/>
      <c r="G131" s="19">
        <f>IF($A131="","",DATE(YEAR($A131),MONTH($A131),1))</f>
        <v/>
      </c>
      <c r="H131" s="14">
        <f>IF($B131="","",SUMIFS(Contracts!$C$5:$C$204,Contracts!$A$5:$A$204,$B131))</f>
        <v/>
      </c>
      <c r="I131" s="14">
        <f>IF($B131="","",SUMIFS($E$5:$E$204,$B$5:$B$204,$B131))</f>
        <v/>
      </c>
      <c r="J131" s="15">
        <f>IF($B131="","",IFERROR($I131/$H131,0))</f>
        <v/>
      </c>
      <c r="K131" s="20">
        <f>IF($A131="","",IF(COUNTIF(Contracts!$A$5:$A$204,$B131)=0,"No contract row for this vendor",IF(COUNTIF(Vendors!$A$5:$A$104,$B131)=0,"Not on the Vendors tab","")))</f>
        <v/>
      </c>
      <c r="L131" s="8" t="n"/>
    </row>
    <row r="132">
      <c r="A132" s="10" t="n"/>
      <c r="B132" s="8" t="n"/>
      <c r="C132" s="8" t="n"/>
      <c r="D132" s="8" t="n"/>
      <c r="E132" s="9" t="n"/>
      <c r="F132" s="8" t="n"/>
      <c r="G132" s="19">
        <f>IF($A132="","",DATE(YEAR($A132),MONTH($A132),1))</f>
        <v/>
      </c>
      <c r="H132" s="14">
        <f>IF($B132="","",SUMIFS(Contracts!$C$5:$C$204,Contracts!$A$5:$A$204,$B132))</f>
        <v/>
      </c>
      <c r="I132" s="14">
        <f>IF($B132="","",SUMIFS($E$5:$E$204,$B$5:$B$204,$B132))</f>
        <v/>
      </c>
      <c r="J132" s="15">
        <f>IF($B132="","",IFERROR($I132/$H132,0))</f>
        <v/>
      </c>
      <c r="K132" s="20">
        <f>IF($A132="","",IF(COUNTIF(Contracts!$A$5:$A$204,$B132)=0,"No contract row for this vendor",IF(COUNTIF(Vendors!$A$5:$A$104,$B132)=0,"Not on the Vendors tab","")))</f>
        <v/>
      </c>
      <c r="L132" s="8" t="n"/>
    </row>
    <row r="133">
      <c r="A133" s="10" t="n"/>
      <c r="B133" s="8" t="n"/>
      <c r="C133" s="8" t="n"/>
      <c r="D133" s="8" t="n"/>
      <c r="E133" s="9" t="n"/>
      <c r="F133" s="8" t="n"/>
      <c r="G133" s="19">
        <f>IF($A133="","",DATE(YEAR($A133),MONTH($A133),1))</f>
        <v/>
      </c>
      <c r="H133" s="14">
        <f>IF($B133="","",SUMIFS(Contracts!$C$5:$C$204,Contracts!$A$5:$A$204,$B133))</f>
        <v/>
      </c>
      <c r="I133" s="14">
        <f>IF($B133="","",SUMIFS($E$5:$E$204,$B$5:$B$204,$B133))</f>
        <v/>
      </c>
      <c r="J133" s="15">
        <f>IF($B133="","",IFERROR($I133/$H133,0))</f>
        <v/>
      </c>
      <c r="K133" s="20">
        <f>IF($A133="","",IF(COUNTIF(Contracts!$A$5:$A$204,$B133)=0,"No contract row for this vendor",IF(COUNTIF(Vendors!$A$5:$A$104,$B133)=0,"Not on the Vendors tab","")))</f>
        <v/>
      </c>
      <c r="L133" s="8" t="n"/>
    </row>
    <row r="134">
      <c r="A134" s="10" t="n"/>
      <c r="B134" s="8" t="n"/>
      <c r="C134" s="8" t="n"/>
      <c r="D134" s="8" t="n"/>
      <c r="E134" s="9" t="n"/>
      <c r="F134" s="8" t="n"/>
      <c r="G134" s="19">
        <f>IF($A134="","",DATE(YEAR($A134),MONTH($A134),1))</f>
        <v/>
      </c>
      <c r="H134" s="14">
        <f>IF($B134="","",SUMIFS(Contracts!$C$5:$C$204,Contracts!$A$5:$A$204,$B134))</f>
        <v/>
      </c>
      <c r="I134" s="14">
        <f>IF($B134="","",SUMIFS($E$5:$E$204,$B$5:$B$204,$B134))</f>
        <v/>
      </c>
      <c r="J134" s="15">
        <f>IF($B134="","",IFERROR($I134/$H134,0))</f>
        <v/>
      </c>
      <c r="K134" s="20">
        <f>IF($A134="","",IF(COUNTIF(Contracts!$A$5:$A$204,$B134)=0,"No contract row for this vendor",IF(COUNTIF(Vendors!$A$5:$A$104,$B134)=0,"Not on the Vendors tab","")))</f>
        <v/>
      </c>
      <c r="L134" s="8" t="n"/>
    </row>
    <row r="135">
      <c r="A135" s="10" t="n"/>
      <c r="B135" s="8" t="n"/>
      <c r="C135" s="8" t="n"/>
      <c r="D135" s="8" t="n"/>
      <c r="E135" s="9" t="n"/>
      <c r="F135" s="8" t="n"/>
      <c r="G135" s="19">
        <f>IF($A135="","",DATE(YEAR($A135),MONTH($A135),1))</f>
        <v/>
      </c>
      <c r="H135" s="14">
        <f>IF($B135="","",SUMIFS(Contracts!$C$5:$C$204,Contracts!$A$5:$A$204,$B135))</f>
        <v/>
      </c>
      <c r="I135" s="14">
        <f>IF($B135="","",SUMIFS($E$5:$E$204,$B$5:$B$204,$B135))</f>
        <v/>
      </c>
      <c r="J135" s="15">
        <f>IF($B135="","",IFERROR($I135/$H135,0))</f>
        <v/>
      </c>
      <c r="K135" s="20">
        <f>IF($A135="","",IF(COUNTIF(Contracts!$A$5:$A$204,$B135)=0,"No contract row for this vendor",IF(COUNTIF(Vendors!$A$5:$A$104,$B135)=0,"Not on the Vendors tab","")))</f>
        <v/>
      </c>
      <c r="L135" s="8" t="n"/>
    </row>
    <row r="136">
      <c r="A136" s="10" t="n"/>
      <c r="B136" s="8" t="n"/>
      <c r="C136" s="8" t="n"/>
      <c r="D136" s="8" t="n"/>
      <c r="E136" s="9" t="n"/>
      <c r="F136" s="8" t="n"/>
      <c r="G136" s="19">
        <f>IF($A136="","",DATE(YEAR($A136),MONTH($A136),1))</f>
        <v/>
      </c>
      <c r="H136" s="14">
        <f>IF($B136="","",SUMIFS(Contracts!$C$5:$C$204,Contracts!$A$5:$A$204,$B136))</f>
        <v/>
      </c>
      <c r="I136" s="14">
        <f>IF($B136="","",SUMIFS($E$5:$E$204,$B$5:$B$204,$B136))</f>
        <v/>
      </c>
      <c r="J136" s="15">
        <f>IF($B136="","",IFERROR($I136/$H136,0))</f>
        <v/>
      </c>
      <c r="K136" s="20">
        <f>IF($A136="","",IF(COUNTIF(Contracts!$A$5:$A$204,$B136)=0,"No contract row for this vendor",IF(COUNTIF(Vendors!$A$5:$A$104,$B136)=0,"Not on the Vendors tab","")))</f>
        <v/>
      </c>
      <c r="L136" s="8" t="n"/>
    </row>
    <row r="137">
      <c r="A137" s="10" t="n"/>
      <c r="B137" s="8" t="n"/>
      <c r="C137" s="8" t="n"/>
      <c r="D137" s="8" t="n"/>
      <c r="E137" s="9" t="n"/>
      <c r="F137" s="8" t="n"/>
      <c r="G137" s="19">
        <f>IF($A137="","",DATE(YEAR($A137),MONTH($A137),1))</f>
        <v/>
      </c>
      <c r="H137" s="14">
        <f>IF($B137="","",SUMIFS(Contracts!$C$5:$C$204,Contracts!$A$5:$A$204,$B137))</f>
        <v/>
      </c>
      <c r="I137" s="14">
        <f>IF($B137="","",SUMIFS($E$5:$E$204,$B$5:$B$204,$B137))</f>
        <v/>
      </c>
      <c r="J137" s="15">
        <f>IF($B137="","",IFERROR($I137/$H137,0))</f>
        <v/>
      </c>
      <c r="K137" s="20">
        <f>IF($A137="","",IF(COUNTIF(Contracts!$A$5:$A$204,$B137)=0,"No contract row for this vendor",IF(COUNTIF(Vendors!$A$5:$A$104,$B137)=0,"Not on the Vendors tab","")))</f>
        <v/>
      </c>
      <c r="L137" s="8" t="n"/>
    </row>
    <row r="138">
      <c r="A138" s="10" t="n"/>
      <c r="B138" s="8" t="n"/>
      <c r="C138" s="8" t="n"/>
      <c r="D138" s="8" t="n"/>
      <c r="E138" s="9" t="n"/>
      <c r="F138" s="8" t="n"/>
      <c r="G138" s="19">
        <f>IF($A138="","",DATE(YEAR($A138),MONTH($A138),1))</f>
        <v/>
      </c>
      <c r="H138" s="14">
        <f>IF($B138="","",SUMIFS(Contracts!$C$5:$C$204,Contracts!$A$5:$A$204,$B138))</f>
        <v/>
      </c>
      <c r="I138" s="14">
        <f>IF($B138="","",SUMIFS($E$5:$E$204,$B$5:$B$204,$B138))</f>
        <v/>
      </c>
      <c r="J138" s="15">
        <f>IF($B138="","",IFERROR($I138/$H138,0))</f>
        <v/>
      </c>
      <c r="K138" s="20">
        <f>IF($A138="","",IF(COUNTIF(Contracts!$A$5:$A$204,$B138)=0,"No contract row for this vendor",IF(COUNTIF(Vendors!$A$5:$A$104,$B138)=0,"Not on the Vendors tab","")))</f>
        <v/>
      </c>
      <c r="L138" s="8" t="n"/>
    </row>
    <row r="139">
      <c r="A139" s="10" t="n"/>
      <c r="B139" s="8" t="n"/>
      <c r="C139" s="8" t="n"/>
      <c r="D139" s="8" t="n"/>
      <c r="E139" s="9" t="n"/>
      <c r="F139" s="8" t="n"/>
      <c r="G139" s="19">
        <f>IF($A139="","",DATE(YEAR($A139),MONTH($A139),1))</f>
        <v/>
      </c>
      <c r="H139" s="14">
        <f>IF($B139="","",SUMIFS(Contracts!$C$5:$C$204,Contracts!$A$5:$A$204,$B139))</f>
        <v/>
      </c>
      <c r="I139" s="14">
        <f>IF($B139="","",SUMIFS($E$5:$E$204,$B$5:$B$204,$B139))</f>
        <v/>
      </c>
      <c r="J139" s="15">
        <f>IF($B139="","",IFERROR($I139/$H139,0))</f>
        <v/>
      </c>
      <c r="K139" s="20">
        <f>IF($A139="","",IF(COUNTIF(Contracts!$A$5:$A$204,$B139)=0,"No contract row for this vendor",IF(COUNTIF(Vendors!$A$5:$A$104,$B139)=0,"Not on the Vendors tab","")))</f>
        <v/>
      </c>
      <c r="L139" s="8" t="n"/>
    </row>
    <row r="140">
      <c r="A140" s="10" t="n"/>
      <c r="B140" s="8" t="n"/>
      <c r="C140" s="8" t="n"/>
      <c r="D140" s="8" t="n"/>
      <c r="E140" s="9" t="n"/>
      <c r="F140" s="8" t="n"/>
      <c r="G140" s="19">
        <f>IF($A140="","",DATE(YEAR($A140),MONTH($A140),1))</f>
        <v/>
      </c>
      <c r="H140" s="14">
        <f>IF($B140="","",SUMIFS(Contracts!$C$5:$C$204,Contracts!$A$5:$A$204,$B140))</f>
        <v/>
      </c>
      <c r="I140" s="14">
        <f>IF($B140="","",SUMIFS($E$5:$E$204,$B$5:$B$204,$B140))</f>
        <v/>
      </c>
      <c r="J140" s="15">
        <f>IF($B140="","",IFERROR($I140/$H140,0))</f>
        <v/>
      </c>
      <c r="K140" s="20">
        <f>IF($A140="","",IF(COUNTIF(Contracts!$A$5:$A$204,$B140)=0,"No contract row for this vendor",IF(COUNTIF(Vendors!$A$5:$A$104,$B140)=0,"Not on the Vendors tab","")))</f>
        <v/>
      </c>
      <c r="L140" s="8" t="n"/>
    </row>
    <row r="141">
      <c r="A141" s="10" t="n"/>
      <c r="B141" s="8" t="n"/>
      <c r="C141" s="8" t="n"/>
      <c r="D141" s="8" t="n"/>
      <c r="E141" s="9" t="n"/>
      <c r="F141" s="8" t="n"/>
      <c r="G141" s="19">
        <f>IF($A141="","",DATE(YEAR($A141),MONTH($A141),1))</f>
        <v/>
      </c>
      <c r="H141" s="14">
        <f>IF($B141="","",SUMIFS(Contracts!$C$5:$C$204,Contracts!$A$5:$A$204,$B141))</f>
        <v/>
      </c>
      <c r="I141" s="14">
        <f>IF($B141="","",SUMIFS($E$5:$E$204,$B$5:$B$204,$B141))</f>
        <v/>
      </c>
      <c r="J141" s="15">
        <f>IF($B141="","",IFERROR($I141/$H141,0))</f>
        <v/>
      </c>
      <c r="K141" s="20">
        <f>IF($A141="","",IF(COUNTIF(Contracts!$A$5:$A$204,$B141)=0,"No contract row for this vendor",IF(COUNTIF(Vendors!$A$5:$A$104,$B141)=0,"Not on the Vendors tab","")))</f>
        <v/>
      </c>
      <c r="L141" s="8" t="n"/>
    </row>
    <row r="142">
      <c r="A142" s="10" t="n"/>
      <c r="B142" s="8" t="n"/>
      <c r="C142" s="8" t="n"/>
      <c r="D142" s="8" t="n"/>
      <c r="E142" s="9" t="n"/>
      <c r="F142" s="8" t="n"/>
      <c r="G142" s="19">
        <f>IF($A142="","",DATE(YEAR($A142),MONTH($A142),1))</f>
        <v/>
      </c>
      <c r="H142" s="14">
        <f>IF($B142="","",SUMIFS(Contracts!$C$5:$C$204,Contracts!$A$5:$A$204,$B142))</f>
        <v/>
      </c>
      <c r="I142" s="14">
        <f>IF($B142="","",SUMIFS($E$5:$E$204,$B$5:$B$204,$B142))</f>
        <v/>
      </c>
      <c r="J142" s="15">
        <f>IF($B142="","",IFERROR($I142/$H142,0))</f>
        <v/>
      </c>
      <c r="K142" s="20">
        <f>IF($A142="","",IF(COUNTIF(Contracts!$A$5:$A$204,$B142)=0,"No contract row for this vendor",IF(COUNTIF(Vendors!$A$5:$A$104,$B142)=0,"Not on the Vendors tab","")))</f>
        <v/>
      </c>
      <c r="L142" s="8" t="n"/>
    </row>
    <row r="143">
      <c r="A143" s="10" t="n"/>
      <c r="B143" s="8" t="n"/>
      <c r="C143" s="8" t="n"/>
      <c r="D143" s="8" t="n"/>
      <c r="E143" s="9" t="n"/>
      <c r="F143" s="8" t="n"/>
      <c r="G143" s="19">
        <f>IF($A143="","",DATE(YEAR($A143),MONTH($A143),1))</f>
        <v/>
      </c>
      <c r="H143" s="14">
        <f>IF($B143="","",SUMIFS(Contracts!$C$5:$C$204,Contracts!$A$5:$A$204,$B143))</f>
        <v/>
      </c>
      <c r="I143" s="14">
        <f>IF($B143="","",SUMIFS($E$5:$E$204,$B$5:$B$204,$B143))</f>
        <v/>
      </c>
      <c r="J143" s="15">
        <f>IF($B143="","",IFERROR($I143/$H143,0))</f>
        <v/>
      </c>
      <c r="K143" s="20">
        <f>IF($A143="","",IF(COUNTIF(Contracts!$A$5:$A$204,$B143)=0,"No contract row for this vendor",IF(COUNTIF(Vendors!$A$5:$A$104,$B143)=0,"Not on the Vendors tab","")))</f>
        <v/>
      </c>
      <c r="L143" s="8" t="n"/>
    </row>
    <row r="144">
      <c r="A144" s="10" t="n"/>
      <c r="B144" s="8" t="n"/>
      <c r="C144" s="8" t="n"/>
      <c r="D144" s="8" t="n"/>
      <c r="E144" s="9" t="n"/>
      <c r="F144" s="8" t="n"/>
      <c r="G144" s="19">
        <f>IF($A144="","",DATE(YEAR($A144),MONTH($A144),1))</f>
        <v/>
      </c>
      <c r="H144" s="14">
        <f>IF($B144="","",SUMIFS(Contracts!$C$5:$C$204,Contracts!$A$5:$A$204,$B144))</f>
        <v/>
      </c>
      <c r="I144" s="14">
        <f>IF($B144="","",SUMIFS($E$5:$E$204,$B$5:$B$204,$B144))</f>
        <v/>
      </c>
      <c r="J144" s="15">
        <f>IF($B144="","",IFERROR($I144/$H144,0))</f>
        <v/>
      </c>
      <c r="K144" s="20">
        <f>IF($A144="","",IF(COUNTIF(Contracts!$A$5:$A$204,$B144)=0,"No contract row for this vendor",IF(COUNTIF(Vendors!$A$5:$A$104,$B144)=0,"Not on the Vendors tab","")))</f>
        <v/>
      </c>
      <c r="L144" s="8" t="n"/>
    </row>
    <row r="145">
      <c r="A145" s="10" t="n"/>
      <c r="B145" s="8" t="n"/>
      <c r="C145" s="8" t="n"/>
      <c r="D145" s="8" t="n"/>
      <c r="E145" s="9" t="n"/>
      <c r="F145" s="8" t="n"/>
      <c r="G145" s="19">
        <f>IF($A145="","",DATE(YEAR($A145),MONTH($A145),1))</f>
        <v/>
      </c>
      <c r="H145" s="14">
        <f>IF($B145="","",SUMIFS(Contracts!$C$5:$C$204,Contracts!$A$5:$A$204,$B145))</f>
        <v/>
      </c>
      <c r="I145" s="14">
        <f>IF($B145="","",SUMIFS($E$5:$E$204,$B$5:$B$204,$B145))</f>
        <v/>
      </c>
      <c r="J145" s="15">
        <f>IF($B145="","",IFERROR($I145/$H145,0))</f>
        <v/>
      </c>
      <c r="K145" s="20">
        <f>IF($A145="","",IF(COUNTIF(Contracts!$A$5:$A$204,$B145)=0,"No contract row for this vendor",IF(COUNTIF(Vendors!$A$5:$A$104,$B145)=0,"Not on the Vendors tab","")))</f>
        <v/>
      </c>
      <c r="L145" s="8" t="n"/>
    </row>
    <row r="146">
      <c r="A146" s="10" t="n"/>
      <c r="B146" s="8" t="n"/>
      <c r="C146" s="8" t="n"/>
      <c r="D146" s="8" t="n"/>
      <c r="E146" s="9" t="n"/>
      <c r="F146" s="8" t="n"/>
      <c r="G146" s="19">
        <f>IF($A146="","",DATE(YEAR($A146),MONTH($A146),1))</f>
        <v/>
      </c>
      <c r="H146" s="14">
        <f>IF($B146="","",SUMIFS(Contracts!$C$5:$C$204,Contracts!$A$5:$A$204,$B146))</f>
        <v/>
      </c>
      <c r="I146" s="14">
        <f>IF($B146="","",SUMIFS($E$5:$E$204,$B$5:$B$204,$B146))</f>
        <v/>
      </c>
      <c r="J146" s="15">
        <f>IF($B146="","",IFERROR($I146/$H146,0))</f>
        <v/>
      </c>
      <c r="K146" s="20">
        <f>IF($A146="","",IF(COUNTIF(Contracts!$A$5:$A$204,$B146)=0,"No contract row for this vendor",IF(COUNTIF(Vendors!$A$5:$A$104,$B146)=0,"Not on the Vendors tab","")))</f>
        <v/>
      </c>
      <c r="L146" s="8" t="n"/>
    </row>
    <row r="147">
      <c r="A147" s="10" t="n"/>
      <c r="B147" s="8" t="n"/>
      <c r="C147" s="8" t="n"/>
      <c r="D147" s="8" t="n"/>
      <c r="E147" s="9" t="n"/>
      <c r="F147" s="8" t="n"/>
      <c r="G147" s="19">
        <f>IF($A147="","",DATE(YEAR($A147),MONTH($A147),1))</f>
        <v/>
      </c>
      <c r="H147" s="14">
        <f>IF($B147="","",SUMIFS(Contracts!$C$5:$C$204,Contracts!$A$5:$A$204,$B147))</f>
        <v/>
      </c>
      <c r="I147" s="14">
        <f>IF($B147="","",SUMIFS($E$5:$E$204,$B$5:$B$204,$B147))</f>
        <v/>
      </c>
      <c r="J147" s="15">
        <f>IF($B147="","",IFERROR($I147/$H147,0))</f>
        <v/>
      </c>
      <c r="K147" s="20">
        <f>IF($A147="","",IF(COUNTIF(Contracts!$A$5:$A$204,$B147)=0,"No contract row for this vendor",IF(COUNTIF(Vendors!$A$5:$A$104,$B147)=0,"Not on the Vendors tab","")))</f>
        <v/>
      </c>
      <c r="L147" s="8" t="n"/>
    </row>
    <row r="148">
      <c r="A148" s="10" t="n"/>
      <c r="B148" s="8" t="n"/>
      <c r="C148" s="8" t="n"/>
      <c r="D148" s="8" t="n"/>
      <c r="E148" s="9" t="n"/>
      <c r="F148" s="8" t="n"/>
      <c r="G148" s="19">
        <f>IF($A148="","",DATE(YEAR($A148),MONTH($A148),1))</f>
        <v/>
      </c>
      <c r="H148" s="14">
        <f>IF($B148="","",SUMIFS(Contracts!$C$5:$C$204,Contracts!$A$5:$A$204,$B148))</f>
        <v/>
      </c>
      <c r="I148" s="14">
        <f>IF($B148="","",SUMIFS($E$5:$E$204,$B$5:$B$204,$B148))</f>
        <v/>
      </c>
      <c r="J148" s="15">
        <f>IF($B148="","",IFERROR($I148/$H148,0))</f>
        <v/>
      </c>
      <c r="K148" s="20">
        <f>IF($A148="","",IF(COUNTIF(Contracts!$A$5:$A$204,$B148)=0,"No contract row for this vendor",IF(COUNTIF(Vendors!$A$5:$A$104,$B148)=0,"Not on the Vendors tab","")))</f>
        <v/>
      </c>
      <c r="L148" s="8" t="n"/>
    </row>
    <row r="149">
      <c r="A149" s="10" t="n"/>
      <c r="B149" s="8" t="n"/>
      <c r="C149" s="8" t="n"/>
      <c r="D149" s="8" t="n"/>
      <c r="E149" s="9" t="n"/>
      <c r="F149" s="8" t="n"/>
      <c r="G149" s="19">
        <f>IF($A149="","",DATE(YEAR($A149),MONTH($A149),1))</f>
        <v/>
      </c>
      <c r="H149" s="14">
        <f>IF($B149="","",SUMIFS(Contracts!$C$5:$C$204,Contracts!$A$5:$A$204,$B149))</f>
        <v/>
      </c>
      <c r="I149" s="14">
        <f>IF($B149="","",SUMIFS($E$5:$E$204,$B$5:$B$204,$B149))</f>
        <v/>
      </c>
      <c r="J149" s="15">
        <f>IF($B149="","",IFERROR($I149/$H149,0))</f>
        <v/>
      </c>
      <c r="K149" s="20">
        <f>IF($A149="","",IF(COUNTIF(Contracts!$A$5:$A$204,$B149)=0,"No contract row for this vendor",IF(COUNTIF(Vendors!$A$5:$A$104,$B149)=0,"Not on the Vendors tab","")))</f>
        <v/>
      </c>
      <c r="L149" s="8" t="n"/>
    </row>
    <row r="150">
      <c r="A150" s="10" t="n"/>
      <c r="B150" s="8" t="n"/>
      <c r="C150" s="8" t="n"/>
      <c r="D150" s="8" t="n"/>
      <c r="E150" s="9" t="n"/>
      <c r="F150" s="8" t="n"/>
      <c r="G150" s="19">
        <f>IF($A150="","",DATE(YEAR($A150),MONTH($A150),1))</f>
        <v/>
      </c>
      <c r="H150" s="14">
        <f>IF($B150="","",SUMIFS(Contracts!$C$5:$C$204,Contracts!$A$5:$A$204,$B150))</f>
        <v/>
      </c>
      <c r="I150" s="14">
        <f>IF($B150="","",SUMIFS($E$5:$E$204,$B$5:$B$204,$B150))</f>
        <v/>
      </c>
      <c r="J150" s="15">
        <f>IF($B150="","",IFERROR($I150/$H150,0))</f>
        <v/>
      </c>
      <c r="K150" s="20">
        <f>IF($A150="","",IF(COUNTIF(Contracts!$A$5:$A$204,$B150)=0,"No contract row for this vendor",IF(COUNTIF(Vendors!$A$5:$A$104,$B150)=0,"Not on the Vendors tab","")))</f>
        <v/>
      </c>
      <c r="L150" s="8" t="n"/>
    </row>
    <row r="151">
      <c r="A151" s="10" t="n"/>
      <c r="B151" s="8" t="n"/>
      <c r="C151" s="8" t="n"/>
      <c r="D151" s="8" t="n"/>
      <c r="E151" s="9" t="n"/>
      <c r="F151" s="8" t="n"/>
      <c r="G151" s="19">
        <f>IF($A151="","",DATE(YEAR($A151),MONTH($A151),1))</f>
        <v/>
      </c>
      <c r="H151" s="14">
        <f>IF($B151="","",SUMIFS(Contracts!$C$5:$C$204,Contracts!$A$5:$A$204,$B151))</f>
        <v/>
      </c>
      <c r="I151" s="14">
        <f>IF($B151="","",SUMIFS($E$5:$E$204,$B$5:$B$204,$B151))</f>
        <v/>
      </c>
      <c r="J151" s="15">
        <f>IF($B151="","",IFERROR($I151/$H151,0))</f>
        <v/>
      </c>
      <c r="K151" s="20">
        <f>IF($A151="","",IF(COUNTIF(Contracts!$A$5:$A$204,$B151)=0,"No contract row for this vendor",IF(COUNTIF(Vendors!$A$5:$A$104,$B151)=0,"Not on the Vendors tab","")))</f>
        <v/>
      </c>
      <c r="L151" s="8" t="n"/>
    </row>
    <row r="152">
      <c r="A152" s="10" t="n"/>
      <c r="B152" s="8" t="n"/>
      <c r="C152" s="8" t="n"/>
      <c r="D152" s="8" t="n"/>
      <c r="E152" s="9" t="n"/>
      <c r="F152" s="8" t="n"/>
      <c r="G152" s="19">
        <f>IF($A152="","",DATE(YEAR($A152),MONTH($A152),1))</f>
        <v/>
      </c>
      <c r="H152" s="14">
        <f>IF($B152="","",SUMIFS(Contracts!$C$5:$C$204,Contracts!$A$5:$A$204,$B152))</f>
        <v/>
      </c>
      <c r="I152" s="14">
        <f>IF($B152="","",SUMIFS($E$5:$E$204,$B$5:$B$204,$B152))</f>
        <v/>
      </c>
      <c r="J152" s="15">
        <f>IF($B152="","",IFERROR($I152/$H152,0))</f>
        <v/>
      </c>
      <c r="K152" s="20">
        <f>IF($A152="","",IF(COUNTIF(Contracts!$A$5:$A$204,$B152)=0,"No contract row for this vendor",IF(COUNTIF(Vendors!$A$5:$A$104,$B152)=0,"Not on the Vendors tab","")))</f>
        <v/>
      </c>
      <c r="L152" s="8" t="n"/>
    </row>
    <row r="153">
      <c r="A153" s="10" t="n"/>
      <c r="B153" s="8" t="n"/>
      <c r="C153" s="8" t="n"/>
      <c r="D153" s="8" t="n"/>
      <c r="E153" s="9" t="n"/>
      <c r="F153" s="8" t="n"/>
      <c r="G153" s="19">
        <f>IF($A153="","",DATE(YEAR($A153),MONTH($A153),1))</f>
        <v/>
      </c>
      <c r="H153" s="14">
        <f>IF($B153="","",SUMIFS(Contracts!$C$5:$C$204,Contracts!$A$5:$A$204,$B153))</f>
        <v/>
      </c>
      <c r="I153" s="14">
        <f>IF($B153="","",SUMIFS($E$5:$E$204,$B$5:$B$204,$B153))</f>
        <v/>
      </c>
      <c r="J153" s="15">
        <f>IF($B153="","",IFERROR($I153/$H153,0))</f>
        <v/>
      </c>
      <c r="K153" s="20">
        <f>IF($A153="","",IF(COUNTIF(Contracts!$A$5:$A$204,$B153)=0,"No contract row for this vendor",IF(COUNTIF(Vendors!$A$5:$A$104,$B153)=0,"Not on the Vendors tab","")))</f>
        <v/>
      </c>
      <c r="L153" s="8" t="n"/>
    </row>
    <row r="154">
      <c r="A154" s="10" t="n"/>
      <c r="B154" s="8" t="n"/>
      <c r="C154" s="8" t="n"/>
      <c r="D154" s="8" t="n"/>
      <c r="E154" s="9" t="n"/>
      <c r="F154" s="8" t="n"/>
      <c r="G154" s="19">
        <f>IF($A154="","",DATE(YEAR($A154),MONTH($A154),1))</f>
        <v/>
      </c>
      <c r="H154" s="14">
        <f>IF($B154="","",SUMIFS(Contracts!$C$5:$C$204,Contracts!$A$5:$A$204,$B154))</f>
        <v/>
      </c>
      <c r="I154" s="14">
        <f>IF($B154="","",SUMIFS($E$5:$E$204,$B$5:$B$204,$B154))</f>
        <v/>
      </c>
      <c r="J154" s="15">
        <f>IF($B154="","",IFERROR($I154/$H154,0))</f>
        <v/>
      </c>
      <c r="K154" s="20">
        <f>IF($A154="","",IF(COUNTIF(Contracts!$A$5:$A$204,$B154)=0,"No contract row for this vendor",IF(COUNTIF(Vendors!$A$5:$A$104,$B154)=0,"Not on the Vendors tab","")))</f>
        <v/>
      </c>
      <c r="L154" s="8" t="n"/>
    </row>
    <row r="155">
      <c r="A155" s="10" t="n"/>
      <c r="B155" s="8" t="n"/>
      <c r="C155" s="8" t="n"/>
      <c r="D155" s="8" t="n"/>
      <c r="E155" s="9" t="n"/>
      <c r="F155" s="8" t="n"/>
      <c r="G155" s="19">
        <f>IF($A155="","",DATE(YEAR($A155),MONTH($A155),1))</f>
        <v/>
      </c>
      <c r="H155" s="14">
        <f>IF($B155="","",SUMIFS(Contracts!$C$5:$C$204,Contracts!$A$5:$A$204,$B155))</f>
        <v/>
      </c>
      <c r="I155" s="14">
        <f>IF($B155="","",SUMIFS($E$5:$E$204,$B$5:$B$204,$B155))</f>
        <v/>
      </c>
      <c r="J155" s="15">
        <f>IF($B155="","",IFERROR($I155/$H155,0))</f>
        <v/>
      </c>
      <c r="K155" s="20">
        <f>IF($A155="","",IF(COUNTIF(Contracts!$A$5:$A$204,$B155)=0,"No contract row for this vendor",IF(COUNTIF(Vendors!$A$5:$A$104,$B155)=0,"Not on the Vendors tab","")))</f>
        <v/>
      </c>
      <c r="L155" s="8" t="n"/>
    </row>
    <row r="156">
      <c r="A156" s="10" t="n"/>
      <c r="B156" s="8" t="n"/>
      <c r="C156" s="8" t="n"/>
      <c r="D156" s="8" t="n"/>
      <c r="E156" s="9" t="n"/>
      <c r="F156" s="8" t="n"/>
      <c r="G156" s="19">
        <f>IF($A156="","",DATE(YEAR($A156),MONTH($A156),1))</f>
        <v/>
      </c>
      <c r="H156" s="14">
        <f>IF($B156="","",SUMIFS(Contracts!$C$5:$C$204,Contracts!$A$5:$A$204,$B156))</f>
        <v/>
      </c>
      <c r="I156" s="14">
        <f>IF($B156="","",SUMIFS($E$5:$E$204,$B$5:$B$204,$B156))</f>
        <v/>
      </c>
      <c r="J156" s="15">
        <f>IF($B156="","",IFERROR($I156/$H156,0))</f>
        <v/>
      </c>
      <c r="K156" s="20">
        <f>IF($A156="","",IF(COUNTIF(Contracts!$A$5:$A$204,$B156)=0,"No contract row for this vendor",IF(COUNTIF(Vendors!$A$5:$A$104,$B156)=0,"Not on the Vendors tab","")))</f>
        <v/>
      </c>
      <c r="L156" s="8" t="n"/>
    </row>
    <row r="157">
      <c r="A157" s="10" t="n"/>
      <c r="B157" s="8" t="n"/>
      <c r="C157" s="8" t="n"/>
      <c r="D157" s="8" t="n"/>
      <c r="E157" s="9" t="n"/>
      <c r="F157" s="8" t="n"/>
      <c r="G157" s="19">
        <f>IF($A157="","",DATE(YEAR($A157),MONTH($A157),1))</f>
        <v/>
      </c>
      <c r="H157" s="14">
        <f>IF($B157="","",SUMIFS(Contracts!$C$5:$C$204,Contracts!$A$5:$A$204,$B157))</f>
        <v/>
      </c>
      <c r="I157" s="14">
        <f>IF($B157="","",SUMIFS($E$5:$E$204,$B$5:$B$204,$B157))</f>
        <v/>
      </c>
      <c r="J157" s="15">
        <f>IF($B157="","",IFERROR($I157/$H157,0))</f>
        <v/>
      </c>
      <c r="K157" s="20">
        <f>IF($A157="","",IF(COUNTIF(Contracts!$A$5:$A$204,$B157)=0,"No contract row for this vendor",IF(COUNTIF(Vendors!$A$5:$A$104,$B157)=0,"Not on the Vendors tab","")))</f>
        <v/>
      </c>
      <c r="L157" s="8" t="n"/>
    </row>
    <row r="158">
      <c r="A158" s="10" t="n"/>
      <c r="B158" s="8" t="n"/>
      <c r="C158" s="8" t="n"/>
      <c r="D158" s="8" t="n"/>
      <c r="E158" s="9" t="n"/>
      <c r="F158" s="8" t="n"/>
      <c r="G158" s="19">
        <f>IF($A158="","",DATE(YEAR($A158),MONTH($A158),1))</f>
        <v/>
      </c>
      <c r="H158" s="14">
        <f>IF($B158="","",SUMIFS(Contracts!$C$5:$C$204,Contracts!$A$5:$A$204,$B158))</f>
        <v/>
      </c>
      <c r="I158" s="14">
        <f>IF($B158="","",SUMIFS($E$5:$E$204,$B$5:$B$204,$B158))</f>
        <v/>
      </c>
      <c r="J158" s="15">
        <f>IF($B158="","",IFERROR($I158/$H158,0))</f>
        <v/>
      </c>
      <c r="K158" s="20">
        <f>IF($A158="","",IF(COUNTIF(Contracts!$A$5:$A$204,$B158)=0,"No contract row for this vendor",IF(COUNTIF(Vendors!$A$5:$A$104,$B158)=0,"Not on the Vendors tab","")))</f>
        <v/>
      </c>
      <c r="L158" s="8" t="n"/>
    </row>
    <row r="159">
      <c r="A159" s="10" t="n"/>
      <c r="B159" s="8" t="n"/>
      <c r="C159" s="8" t="n"/>
      <c r="D159" s="8" t="n"/>
      <c r="E159" s="9" t="n"/>
      <c r="F159" s="8" t="n"/>
      <c r="G159" s="19">
        <f>IF($A159="","",DATE(YEAR($A159),MONTH($A159),1))</f>
        <v/>
      </c>
      <c r="H159" s="14">
        <f>IF($B159="","",SUMIFS(Contracts!$C$5:$C$204,Contracts!$A$5:$A$204,$B159))</f>
        <v/>
      </c>
      <c r="I159" s="14">
        <f>IF($B159="","",SUMIFS($E$5:$E$204,$B$5:$B$204,$B159))</f>
        <v/>
      </c>
      <c r="J159" s="15">
        <f>IF($B159="","",IFERROR($I159/$H159,0))</f>
        <v/>
      </c>
      <c r="K159" s="20">
        <f>IF($A159="","",IF(COUNTIF(Contracts!$A$5:$A$204,$B159)=0,"No contract row for this vendor",IF(COUNTIF(Vendors!$A$5:$A$104,$B159)=0,"Not on the Vendors tab","")))</f>
        <v/>
      </c>
      <c r="L159" s="8" t="n"/>
    </row>
    <row r="160">
      <c r="A160" s="10" t="n"/>
      <c r="B160" s="8" t="n"/>
      <c r="C160" s="8" t="n"/>
      <c r="D160" s="8" t="n"/>
      <c r="E160" s="9" t="n"/>
      <c r="F160" s="8" t="n"/>
      <c r="G160" s="19">
        <f>IF($A160="","",DATE(YEAR($A160),MONTH($A160),1))</f>
        <v/>
      </c>
      <c r="H160" s="14">
        <f>IF($B160="","",SUMIFS(Contracts!$C$5:$C$204,Contracts!$A$5:$A$204,$B160))</f>
        <v/>
      </c>
      <c r="I160" s="14">
        <f>IF($B160="","",SUMIFS($E$5:$E$204,$B$5:$B$204,$B160))</f>
        <v/>
      </c>
      <c r="J160" s="15">
        <f>IF($B160="","",IFERROR($I160/$H160,0))</f>
        <v/>
      </c>
      <c r="K160" s="20">
        <f>IF($A160="","",IF(COUNTIF(Contracts!$A$5:$A$204,$B160)=0,"No contract row for this vendor",IF(COUNTIF(Vendors!$A$5:$A$104,$B160)=0,"Not on the Vendors tab","")))</f>
        <v/>
      </c>
      <c r="L160" s="8" t="n"/>
    </row>
    <row r="161">
      <c r="A161" s="10" t="n"/>
      <c r="B161" s="8" t="n"/>
      <c r="C161" s="8" t="n"/>
      <c r="D161" s="8" t="n"/>
      <c r="E161" s="9" t="n"/>
      <c r="F161" s="8" t="n"/>
      <c r="G161" s="19">
        <f>IF($A161="","",DATE(YEAR($A161),MONTH($A161),1))</f>
        <v/>
      </c>
      <c r="H161" s="14">
        <f>IF($B161="","",SUMIFS(Contracts!$C$5:$C$204,Contracts!$A$5:$A$204,$B161))</f>
        <v/>
      </c>
      <c r="I161" s="14">
        <f>IF($B161="","",SUMIFS($E$5:$E$204,$B$5:$B$204,$B161))</f>
        <v/>
      </c>
      <c r="J161" s="15">
        <f>IF($B161="","",IFERROR($I161/$H161,0))</f>
        <v/>
      </c>
      <c r="K161" s="20">
        <f>IF($A161="","",IF(COUNTIF(Contracts!$A$5:$A$204,$B161)=0,"No contract row for this vendor",IF(COUNTIF(Vendors!$A$5:$A$104,$B161)=0,"Not on the Vendors tab","")))</f>
        <v/>
      </c>
      <c r="L161" s="8" t="n"/>
    </row>
    <row r="162">
      <c r="A162" s="10" t="n"/>
      <c r="B162" s="8" t="n"/>
      <c r="C162" s="8" t="n"/>
      <c r="D162" s="8" t="n"/>
      <c r="E162" s="9" t="n"/>
      <c r="F162" s="8" t="n"/>
      <c r="G162" s="19">
        <f>IF($A162="","",DATE(YEAR($A162),MONTH($A162),1))</f>
        <v/>
      </c>
      <c r="H162" s="14">
        <f>IF($B162="","",SUMIFS(Contracts!$C$5:$C$204,Contracts!$A$5:$A$204,$B162))</f>
        <v/>
      </c>
      <c r="I162" s="14">
        <f>IF($B162="","",SUMIFS($E$5:$E$204,$B$5:$B$204,$B162))</f>
        <v/>
      </c>
      <c r="J162" s="15">
        <f>IF($B162="","",IFERROR($I162/$H162,0))</f>
        <v/>
      </c>
      <c r="K162" s="20">
        <f>IF($A162="","",IF(COUNTIF(Contracts!$A$5:$A$204,$B162)=0,"No contract row for this vendor",IF(COUNTIF(Vendors!$A$5:$A$104,$B162)=0,"Not on the Vendors tab","")))</f>
        <v/>
      </c>
      <c r="L162" s="8" t="n"/>
    </row>
    <row r="163">
      <c r="A163" s="10" t="n"/>
      <c r="B163" s="8" t="n"/>
      <c r="C163" s="8" t="n"/>
      <c r="D163" s="8" t="n"/>
      <c r="E163" s="9" t="n"/>
      <c r="F163" s="8" t="n"/>
      <c r="G163" s="19">
        <f>IF($A163="","",DATE(YEAR($A163),MONTH($A163),1))</f>
        <v/>
      </c>
      <c r="H163" s="14">
        <f>IF($B163="","",SUMIFS(Contracts!$C$5:$C$204,Contracts!$A$5:$A$204,$B163))</f>
        <v/>
      </c>
      <c r="I163" s="14">
        <f>IF($B163="","",SUMIFS($E$5:$E$204,$B$5:$B$204,$B163))</f>
        <v/>
      </c>
      <c r="J163" s="15">
        <f>IF($B163="","",IFERROR($I163/$H163,0))</f>
        <v/>
      </c>
      <c r="K163" s="20">
        <f>IF($A163="","",IF(COUNTIF(Contracts!$A$5:$A$204,$B163)=0,"No contract row for this vendor",IF(COUNTIF(Vendors!$A$5:$A$104,$B163)=0,"Not on the Vendors tab","")))</f>
        <v/>
      </c>
      <c r="L163" s="8" t="n"/>
    </row>
    <row r="164">
      <c r="A164" s="10" t="n"/>
      <c r="B164" s="8" t="n"/>
      <c r="C164" s="8" t="n"/>
      <c r="D164" s="8" t="n"/>
      <c r="E164" s="9" t="n"/>
      <c r="F164" s="8" t="n"/>
      <c r="G164" s="19">
        <f>IF($A164="","",DATE(YEAR($A164),MONTH($A164),1))</f>
        <v/>
      </c>
      <c r="H164" s="14">
        <f>IF($B164="","",SUMIFS(Contracts!$C$5:$C$204,Contracts!$A$5:$A$204,$B164))</f>
        <v/>
      </c>
      <c r="I164" s="14">
        <f>IF($B164="","",SUMIFS($E$5:$E$204,$B$5:$B$204,$B164))</f>
        <v/>
      </c>
      <c r="J164" s="15">
        <f>IF($B164="","",IFERROR($I164/$H164,0))</f>
        <v/>
      </c>
      <c r="K164" s="20">
        <f>IF($A164="","",IF(COUNTIF(Contracts!$A$5:$A$204,$B164)=0,"No contract row for this vendor",IF(COUNTIF(Vendors!$A$5:$A$104,$B164)=0,"Not on the Vendors tab","")))</f>
        <v/>
      </c>
      <c r="L164" s="8" t="n"/>
    </row>
    <row r="165">
      <c r="A165" s="10" t="n"/>
      <c r="B165" s="8" t="n"/>
      <c r="C165" s="8" t="n"/>
      <c r="D165" s="8" t="n"/>
      <c r="E165" s="9" t="n"/>
      <c r="F165" s="8" t="n"/>
      <c r="G165" s="19">
        <f>IF($A165="","",DATE(YEAR($A165),MONTH($A165),1))</f>
        <v/>
      </c>
      <c r="H165" s="14">
        <f>IF($B165="","",SUMIFS(Contracts!$C$5:$C$204,Contracts!$A$5:$A$204,$B165))</f>
        <v/>
      </c>
      <c r="I165" s="14">
        <f>IF($B165="","",SUMIFS($E$5:$E$204,$B$5:$B$204,$B165))</f>
        <v/>
      </c>
      <c r="J165" s="15">
        <f>IF($B165="","",IFERROR($I165/$H165,0))</f>
        <v/>
      </c>
      <c r="K165" s="20">
        <f>IF($A165="","",IF(COUNTIF(Contracts!$A$5:$A$204,$B165)=0,"No contract row for this vendor",IF(COUNTIF(Vendors!$A$5:$A$104,$B165)=0,"Not on the Vendors tab","")))</f>
        <v/>
      </c>
      <c r="L165" s="8" t="n"/>
    </row>
    <row r="166">
      <c r="A166" s="10" t="n"/>
      <c r="B166" s="8" t="n"/>
      <c r="C166" s="8" t="n"/>
      <c r="D166" s="8" t="n"/>
      <c r="E166" s="9" t="n"/>
      <c r="F166" s="8" t="n"/>
      <c r="G166" s="19">
        <f>IF($A166="","",DATE(YEAR($A166),MONTH($A166),1))</f>
        <v/>
      </c>
      <c r="H166" s="14">
        <f>IF($B166="","",SUMIFS(Contracts!$C$5:$C$204,Contracts!$A$5:$A$204,$B166))</f>
        <v/>
      </c>
      <c r="I166" s="14">
        <f>IF($B166="","",SUMIFS($E$5:$E$204,$B$5:$B$204,$B166))</f>
        <v/>
      </c>
      <c r="J166" s="15">
        <f>IF($B166="","",IFERROR($I166/$H166,0))</f>
        <v/>
      </c>
      <c r="K166" s="20">
        <f>IF($A166="","",IF(COUNTIF(Contracts!$A$5:$A$204,$B166)=0,"No contract row for this vendor",IF(COUNTIF(Vendors!$A$5:$A$104,$B166)=0,"Not on the Vendors tab","")))</f>
        <v/>
      </c>
      <c r="L166" s="8" t="n"/>
    </row>
    <row r="167">
      <c r="A167" s="10" t="n"/>
      <c r="B167" s="8" t="n"/>
      <c r="C167" s="8" t="n"/>
      <c r="D167" s="8" t="n"/>
      <c r="E167" s="9" t="n"/>
      <c r="F167" s="8" t="n"/>
      <c r="G167" s="19">
        <f>IF($A167="","",DATE(YEAR($A167),MONTH($A167),1))</f>
        <v/>
      </c>
      <c r="H167" s="14">
        <f>IF($B167="","",SUMIFS(Contracts!$C$5:$C$204,Contracts!$A$5:$A$204,$B167))</f>
        <v/>
      </c>
      <c r="I167" s="14">
        <f>IF($B167="","",SUMIFS($E$5:$E$204,$B$5:$B$204,$B167))</f>
        <v/>
      </c>
      <c r="J167" s="15">
        <f>IF($B167="","",IFERROR($I167/$H167,0))</f>
        <v/>
      </c>
      <c r="K167" s="20">
        <f>IF($A167="","",IF(COUNTIF(Contracts!$A$5:$A$204,$B167)=0,"No contract row for this vendor",IF(COUNTIF(Vendors!$A$5:$A$104,$B167)=0,"Not on the Vendors tab","")))</f>
        <v/>
      </c>
      <c r="L167" s="8" t="n"/>
    </row>
    <row r="168">
      <c r="A168" s="10" t="n"/>
      <c r="B168" s="8" t="n"/>
      <c r="C168" s="8" t="n"/>
      <c r="D168" s="8" t="n"/>
      <c r="E168" s="9" t="n"/>
      <c r="F168" s="8" t="n"/>
      <c r="G168" s="19">
        <f>IF($A168="","",DATE(YEAR($A168),MONTH($A168),1))</f>
        <v/>
      </c>
      <c r="H168" s="14">
        <f>IF($B168="","",SUMIFS(Contracts!$C$5:$C$204,Contracts!$A$5:$A$204,$B168))</f>
        <v/>
      </c>
      <c r="I168" s="14">
        <f>IF($B168="","",SUMIFS($E$5:$E$204,$B$5:$B$204,$B168))</f>
        <v/>
      </c>
      <c r="J168" s="15">
        <f>IF($B168="","",IFERROR($I168/$H168,0))</f>
        <v/>
      </c>
      <c r="K168" s="20">
        <f>IF($A168="","",IF(COUNTIF(Contracts!$A$5:$A$204,$B168)=0,"No contract row for this vendor",IF(COUNTIF(Vendors!$A$5:$A$104,$B168)=0,"Not on the Vendors tab","")))</f>
        <v/>
      </c>
      <c r="L168" s="8" t="n"/>
    </row>
    <row r="169">
      <c r="A169" s="10" t="n"/>
      <c r="B169" s="8" t="n"/>
      <c r="C169" s="8" t="n"/>
      <c r="D169" s="8" t="n"/>
      <c r="E169" s="9" t="n"/>
      <c r="F169" s="8" t="n"/>
      <c r="G169" s="19">
        <f>IF($A169="","",DATE(YEAR($A169),MONTH($A169),1))</f>
        <v/>
      </c>
      <c r="H169" s="14">
        <f>IF($B169="","",SUMIFS(Contracts!$C$5:$C$204,Contracts!$A$5:$A$204,$B169))</f>
        <v/>
      </c>
      <c r="I169" s="14">
        <f>IF($B169="","",SUMIFS($E$5:$E$204,$B$5:$B$204,$B169))</f>
        <v/>
      </c>
      <c r="J169" s="15">
        <f>IF($B169="","",IFERROR($I169/$H169,0))</f>
        <v/>
      </c>
      <c r="K169" s="20">
        <f>IF($A169="","",IF(COUNTIF(Contracts!$A$5:$A$204,$B169)=0,"No contract row for this vendor",IF(COUNTIF(Vendors!$A$5:$A$104,$B169)=0,"Not on the Vendors tab","")))</f>
        <v/>
      </c>
      <c r="L169" s="8" t="n"/>
    </row>
    <row r="170">
      <c r="A170" s="10" t="n"/>
      <c r="B170" s="8" t="n"/>
      <c r="C170" s="8" t="n"/>
      <c r="D170" s="8" t="n"/>
      <c r="E170" s="9" t="n"/>
      <c r="F170" s="8" t="n"/>
      <c r="G170" s="19">
        <f>IF($A170="","",DATE(YEAR($A170),MONTH($A170),1))</f>
        <v/>
      </c>
      <c r="H170" s="14">
        <f>IF($B170="","",SUMIFS(Contracts!$C$5:$C$204,Contracts!$A$5:$A$204,$B170))</f>
        <v/>
      </c>
      <c r="I170" s="14">
        <f>IF($B170="","",SUMIFS($E$5:$E$204,$B$5:$B$204,$B170))</f>
        <v/>
      </c>
      <c r="J170" s="15">
        <f>IF($B170="","",IFERROR($I170/$H170,0))</f>
        <v/>
      </c>
      <c r="K170" s="20">
        <f>IF($A170="","",IF(COUNTIF(Contracts!$A$5:$A$204,$B170)=0,"No contract row for this vendor",IF(COUNTIF(Vendors!$A$5:$A$104,$B170)=0,"Not on the Vendors tab","")))</f>
        <v/>
      </c>
      <c r="L170" s="8" t="n"/>
    </row>
    <row r="171">
      <c r="A171" s="10" t="n"/>
      <c r="B171" s="8" t="n"/>
      <c r="C171" s="8" t="n"/>
      <c r="D171" s="8" t="n"/>
      <c r="E171" s="9" t="n"/>
      <c r="F171" s="8" t="n"/>
      <c r="G171" s="19">
        <f>IF($A171="","",DATE(YEAR($A171),MONTH($A171),1))</f>
        <v/>
      </c>
      <c r="H171" s="14">
        <f>IF($B171="","",SUMIFS(Contracts!$C$5:$C$204,Contracts!$A$5:$A$204,$B171))</f>
        <v/>
      </c>
      <c r="I171" s="14">
        <f>IF($B171="","",SUMIFS($E$5:$E$204,$B$5:$B$204,$B171))</f>
        <v/>
      </c>
      <c r="J171" s="15">
        <f>IF($B171="","",IFERROR($I171/$H171,0))</f>
        <v/>
      </c>
      <c r="K171" s="20">
        <f>IF($A171="","",IF(COUNTIF(Contracts!$A$5:$A$204,$B171)=0,"No contract row for this vendor",IF(COUNTIF(Vendors!$A$5:$A$104,$B171)=0,"Not on the Vendors tab","")))</f>
        <v/>
      </c>
      <c r="L171" s="8" t="n"/>
    </row>
    <row r="172">
      <c r="A172" s="10" t="n"/>
      <c r="B172" s="8" t="n"/>
      <c r="C172" s="8" t="n"/>
      <c r="D172" s="8" t="n"/>
      <c r="E172" s="9" t="n"/>
      <c r="F172" s="8" t="n"/>
      <c r="G172" s="19">
        <f>IF($A172="","",DATE(YEAR($A172),MONTH($A172),1))</f>
        <v/>
      </c>
      <c r="H172" s="14">
        <f>IF($B172="","",SUMIFS(Contracts!$C$5:$C$204,Contracts!$A$5:$A$204,$B172))</f>
        <v/>
      </c>
      <c r="I172" s="14">
        <f>IF($B172="","",SUMIFS($E$5:$E$204,$B$5:$B$204,$B172))</f>
        <v/>
      </c>
      <c r="J172" s="15">
        <f>IF($B172="","",IFERROR($I172/$H172,0))</f>
        <v/>
      </c>
      <c r="K172" s="20">
        <f>IF($A172="","",IF(COUNTIF(Contracts!$A$5:$A$204,$B172)=0,"No contract row for this vendor",IF(COUNTIF(Vendors!$A$5:$A$104,$B172)=0,"Not on the Vendors tab","")))</f>
        <v/>
      </c>
      <c r="L172" s="8" t="n"/>
    </row>
    <row r="173">
      <c r="A173" s="10" t="n"/>
      <c r="B173" s="8" t="n"/>
      <c r="C173" s="8" t="n"/>
      <c r="D173" s="8" t="n"/>
      <c r="E173" s="9" t="n"/>
      <c r="F173" s="8" t="n"/>
      <c r="G173" s="19">
        <f>IF($A173="","",DATE(YEAR($A173),MONTH($A173),1))</f>
        <v/>
      </c>
      <c r="H173" s="14">
        <f>IF($B173="","",SUMIFS(Contracts!$C$5:$C$204,Contracts!$A$5:$A$204,$B173))</f>
        <v/>
      </c>
      <c r="I173" s="14">
        <f>IF($B173="","",SUMIFS($E$5:$E$204,$B$5:$B$204,$B173))</f>
        <v/>
      </c>
      <c r="J173" s="15">
        <f>IF($B173="","",IFERROR($I173/$H173,0))</f>
        <v/>
      </c>
      <c r="K173" s="20">
        <f>IF($A173="","",IF(COUNTIF(Contracts!$A$5:$A$204,$B173)=0,"No contract row for this vendor",IF(COUNTIF(Vendors!$A$5:$A$104,$B173)=0,"Not on the Vendors tab","")))</f>
        <v/>
      </c>
      <c r="L173" s="8" t="n"/>
    </row>
    <row r="174">
      <c r="A174" s="10" t="n"/>
      <c r="B174" s="8" t="n"/>
      <c r="C174" s="8" t="n"/>
      <c r="D174" s="8" t="n"/>
      <c r="E174" s="9" t="n"/>
      <c r="F174" s="8" t="n"/>
      <c r="G174" s="19">
        <f>IF($A174="","",DATE(YEAR($A174),MONTH($A174),1))</f>
        <v/>
      </c>
      <c r="H174" s="14">
        <f>IF($B174="","",SUMIFS(Contracts!$C$5:$C$204,Contracts!$A$5:$A$204,$B174))</f>
        <v/>
      </c>
      <c r="I174" s="14">
        <f>IF($B174="","",SUMIFS($E$5:$E$204,$B$5:$B$204,$B174))</f>
        <v/>
      </c>
      <c r="J174" s="15">
        <f>IF($B174="","",IFERROR($I174/$H174,0))</f>
        <v/>
      </c>
      <c r="K174" s="20">
        <f>IF($A174="","",IF(COUNTIF(Contracts!$A$5:$A$204,$B174)=0,"No contract row for this vendor",IF(COUNTIF(Vendors!$A$5:$A$104,$B174)=0,"Not on the Vendors tab","")))</f>
        <v/>
      </c>
      <c r="L174" s="8" t="n"/>
    </row>
    <row r="175">
      <c r="A175" s="10" t="n"/>
      <c r="B175" s="8" t="n"/>
      <c r="C175" s="8" t="n"/>
      <c r="D175" s="8" t="n"/>
      <c r="E175" s="9" t="n"/>
      <c r="F175" s="8" t="n"/>
      <c r="G175" s="19">
        <f>IF($A175="","",DATE(YEAR($A175),MONTH($A175),1))</f>
        <v/>
      </c>
      <c r="H175" s="14">
        <f>IF($B175="","",SUMIFS(Contracts!$C$5:$C$204,Contracts!$A$5:$A$204,$B175))</f>
        <v/>
      </c>
      <c r="I175" s="14">
        <f>IF($B175="","",SUMIFS($E$5:$E$204,$B$5:$B$204,$B175))</f>
        <v/>
      </c>
      <c r="J175" s="15">
        <f>IF($B175="","",IFERROR($I175/$H175,0))</f>
        <v/>
      </c>
      <c r="K175" s="20">
        <f>IF($A175="","",IF(COUNTIF(Contracts!$A$5:$A$204,$B175)=0,"No contract row for this vendor",IF(COUNTIF(Vendors!$A$5:$A$104,$B175)=0,"Not on the Vendors tab","")))</f>
        <v/>
      </c>
      <c r="L175" s="8" t="n"/>
    </row>
    <row r="176">
      <c r="A176" s="10" t="n"/>
      <c r="B176" s="8" t="n"/>
      <c r="C176" s="8" t="n"/>
      <c r="D176" s="8" t="n"/>
      <c r="E176" s="9" t="n"/>
      <c r="F176" s="8" t="n"/>
      <c r="G176" s="19">
        <f>IF($A176="","",DATE(YEAR($A176),MONTH($A176),1))</f>
        <v/>
      </c>
      <c r="H176" s="14">
        <f>IF($B176="","",SUMIFS(Contracts!$C$5:$C$204,Contracts!$A$5:$A$204,$B176))</f>
        <v/>
      </c>
      <c r="I176" s="14">
        <f>IF($B176="","",SUMIFS($E$5:$E$204,$B$5:$B$204,$B176))</f>
        <v/>
      </c>
      <c r="J176" s="15">
        <f>IF($B176="","",IFERROR($I176/$H176,0))</f>
        <v/>
      </c>
      <c r="K176" s="20">
        <f>IF($A176="","",IF(COUNTIF(Contracts!$A$5:$A$204,$B176)=0,"No contract row for this vendor",IF(COUNTIF(Vendors!$A$5:$A$104,$B176)=0,"Not on the Vendors tab","")))</f>
        <v/>
      </c>
      <c r="L176" s="8" t="n"/>
    </row>
    <row r="177">
      <c r="A177" s="10" t="n"/>
      <c r="B177" s="8" t="n"/>
      <c r="C177" s="8" t="n"/>
      <c r="D177" s="8" t="n"/>
      <c r="E177" s="9" t="n"/>
      <c r="F177" s="8" t="n"/>
      <c r="G177" s="19">
        <f>IF($A177="","",DATE(YEAR($A177),MONTH($A177),1))</f>
        <v/>
      </c>
      <c r="H177" s="14">
        <f>IF($B177="","",SUMIFS(Contracts!$C$5:$C$204,Contracts!$A$5:$A$204,$B177))</f>
        <v/>
      </c>
      <c r="I177" s="14">
        <f>IF($B177="","",SUMIFS($E$5:$E$204,$B$5:$B$204,$B177))</f>
        <v/>
      </c>
      <c r="J177" s="15">
        <f>IF($B177="","",IFERROR($I177/$H177,0))</f>
        <v/>
      </c>
      <c r="K177" s="20">
        <f>IF($A177="","",IF(COUNTIF(Contracts!$A$5:$A$204,$B177)=0,"No contract row for this vendor",IF(COUNTIF(Vendors!$A$5:$A$104,$B177)=0,"Not on the Vendors tab","")))</f>
        <v/>
      </c>
      <c r="L177" s="8" t="n"/>
    </row>
    <row r="178">
      <c r="A178" s="10" t="n"/>
      <c r="B178" s="8" t="n"/>
      <c r="C178" s="8" t="n"/>
      <c r="D178" s="8" t="n"/>
      <c r="E178" s="9" t="n"/>
      <c r="F178" s="8" t="n"/>
      <c r="G178" s="19">
        <f>IF($A178="","",DATE(YEAR($A178),MONTH($A178),1))</f>
        <v/>
      </c>
      <c r="H178" s="14">
        <f>IF($B178="","",SUMIFS(Contracts!$C$5:$C$204,Contracts!$A$5:$A$204,$B178))</f>
        <v/>
      </c>
      <c r="I178" s="14">
        <f>IF($B178="","",SUMIFS($E$5:$E$204,$B$5:$B$204,$B178))</f>
        <v/>
      </c>
      <c r="J178" s="15">
        <f>IF($B178="","",IFERROR($I178/$H178,0))</f>
        <v/>
      </c>
      <c r="K178" s="20">
        <f>IF($A178="","",IF(COUNTIF(Contracts!$A$5:$A$204,$B178)=0,"No contract row for this vendor",IF(COUNTIF(Vendors!$A$5:$A$104,$B178)=0,"Not on the Vendors tab","")))</f>
        <v/>
      </c>
      <c r="L178" s="8" t="n"/>
    </row>
    <row r="179">
      <c r="A179" s="10" t="n"/>
      <c r="B179" s="8" t="n"/>
      <c r="C179" s="8" t="n"/>
      <c r="D179" s="8" t="n"/>
      <c r="E179" s="9" t="n"/>
      <c r="F179" s="8" t="n"/>
      <c r="G179" s="19">
        <f>IF($A179="","",DATE(YEAR($A179),MONTH($A179),1))</f>
        <v/>
      </c>
      <c r="H179" s="14">
        <f>IF($B179="","",SUMIFS(Contracts!$C$5:$C$204,Contracts!$A$5:$A$204,$B179))</f>
        <v/>
      </c>
      <c r="I179" s="14">
        <f>IF($B179="","",SUMIFS($E$5:$E$204,$B$5:$B$204,$B179))</f>
        <v/>
      </c>
      <c r="J179" s="15">
        <f>IF($B179="","",IFERROR($I179/$H179,0))</f>
        <v/>
      </c>
      <c r="K179" s="20">
        <f>IF($A179="","",IF(COUNTIF(Contracts!$A$5:$A$204,$B179)=0,"No contract row for this vendor",IF(COUNTIF(Vendors!$A$5:$A$104,$B179)=0,"Not on the Vendors tab","")))</f>
        <v/>
      </c>
      <c r="L179" s="8" t="n"/>
    </row>
    <row r="180">
      <c r="A180" s="10" t="n"/>
      <c r="B180" s="8" t="n"/>
      <c r="C180" s="8" t="n"/>
      <c r="D180" s="8" t="n"/>
      <c r="E180" s="9" t="n"/>
      <c r="F180" s="8" t="n"/>
      <c r="G180" s="19">
        <f>IF($A180="","",DATE(YEAR($A180),MONTH($A180),1))</f>
        <v/>
      </c>
      <c r="H180" s="14">
        <f>IF($B180="","",SUMIFS(Contracts!$C$5:$C$204,Contracts!$A$5:$A$204,$B180))</f>
        <v/>
      </c>
      <c r="I180" s="14">
        <f>IF($B180="","",SUMIFS($E$5:$E$204,$B$5:$B$204,$B180))</f>
        <v/>
      </c>
      <c r="J180" s="15">
        <f>IF($B180="","",IFERROR($I180/$H180,0))</f>
        <v/>
      </c>
      <c r="K180" s="20">
        <f>IF($A180="","",IF(COUNTIF(Contracts!$A$5:$A$204,$B180)=0,"No contract row for this vendor",IF(COUNTIF(Vendors!$A$5:$A$104,$B180)=0,"Not on the Vendors tab","")))</f>
        <v/>
      </c>
      <c r="L180" s="8" t="n"/>
    </row>
    <row r="181">
      <c r="A181" s="10" t="n"/>
      <c r="B181" s="8" t="n"/>
      <c r="C181" s="8" t="n"/>
      <c r="D181" s="8" t="n"/>
      <c r="E181" s="9" t="n"/>
      <c r="F181" s="8" t="n"/>
      <c r="G181" s="19">
        <f>IF($A181="","",DATE(YEAR($A181),MONTH($A181),1))</f>
        <v/>
      </c>
      <c r="H181" s="14">
        <f>IF($B181="","",SUMIFS(Contracts!$C$5:$C$204,Contracts!$A$5:$A$204,$B181))</f>
        <v/>
      </c>
      <c r="I181" s="14">
        <f>IF($B181="","",SUMIFS($E$5:$E$204,$B$5:$B$204,$B181))</f>
        <v/>
      </c>
      <c r="J181" s="15">
        <f>IF($B181="","",IFERROR($I181/$H181,0))</f>
        <v/>
      </c>
      <c r="K181" s="20">
        <f>IF($A181="","",IF(COUNTIF(Contracts!$A$5:$A$204,$B181)=0,"No contract row for this vendor",IF(COUNTIF(Vendors!$A$5:$A$104,$B181)=0,"Not on the Vendors tab","")))</f>
        <v/>
      </c>
      <c r="L181" s="8" t="n"/>
    </row>
    <row r="182">
      <c r="A182" s="10" t="n"/>
      <c r="B182" s="8" t="n"/>
      <c r="C182" s="8" t="n"/>
      <c r="D182" s="8" t="n"/>
      <c r="E182" s="9" t="n"/>
      <c r="F182" s="8" t="n"/>
      <c r="G182" s="19">
        <f>IF($A182="","",DATE(YEAR($A182),MONTH($A182),1))</f>
        <v/>
      </c>
      <c r="H182" s="14">
        <f>IF($B182="","",SUMIFS(Contracts!$C$5:$C$204,Contracts!$A$5:$A$204,$B182))</f>
        <v/>
      </c>
      <c r="I182" s="14">
        <f>IF($B182="","",SUMIFS($E$5:$E$204,$B$5:$B$204,$B182))</f>
        <v/>
      </c>
      <c r="J182" s="15">
        <f>IF($B182="","",IFERROR($I182/$H182,0))</f>
        <v/>
      </c>
      <c r="K182" s="20">
        <f>IF($A182="","",IF(COUNTIF(Contracts!$A$5:$A$204,$B182)=0,"No contract row for this vendor",IF(COUNTIF(Vendors!$A$5:$A$104,$B182)=0,"Not on the Vendors tab","")))</f>
        <v/>
      </c>
      <c r="L182" s="8" t="n"/>
    </row>
    <row r="183">
      <c r="A183" s="10" t="n"/>
      <c r="B183" s="8" t="n"/>
      <c r="C183" s="8" t="n"/>
      <c r="D183" s="8" t="n"/>
      <c r="E183" s="9" t="n"/>
      <c r="F183" s="8" t="n"/>
      <c r="G183" s="19">
        <f>IF($A183="","",DATE(YEAR($A183),MONTH($A183),1))</f>
        <v/>
      </c>
      <c r="H183" s="14">
        <f>IF($B183="","",SUMIFS(Contracts!$C$5:$C$204,Contracts!$A$5:$A$204,$B183))</f>
        <v/>
      </c>
      <c r="I183" s="14">
        <f>IF($B183="","",SUMIFS($E$5:$E$204,$B$5:$B$204,$B183))</f>
        <v/>
      </c>
      <c r="J183" s="15">
        <f>IF($B183="","",IFERROR($I183/$H183,0))</f>
        <v/>
      </c>
      <c r="K183" s="20">
        <f>IF($A183="","",IF(COUNTIF(Contracts!$A$5:$A$204,$B183)=0,"No contract row for this vendor",IF(COUNTIF(Vendors!$A$5:$A$104,$B183)=0,"Not on the Vendors tab","")))</f>
        <v/>
      </c>
      <c r="L183" s="8" t="n"/>
    </row>
    <row r="184">
      <c r="A184" s="10" t="n"/>
      <c r="B184" s="8" t="n"/>
      <c r="C184" s="8" t="n"/>
      <c r="D184" s="8" t="n"/>
      <c r="E184" s="9" t="n"/>
      <c r="F184" s="8" t="n"/>
      <c r="G184" s="19">
        <f>IF($A184="","",DATE(YEAR($A184),MONTH($A184),1))</f>
        <v/>
      </c>
      <c r="H184" s="14">
        <f>IF($B184="","",SUMIFS(Contracts!$C$5:$C$204,Contracts!$A$5:$A$204,$B184))</f>
        <v/>
      </c>
      <c r="I184" s="14">
        <f>IF($B184="","",SUMIFS($E$5:$E$204,$B$5:$B$204,$B184))</f>
        <v/>
      </c>
      <c r="J184" s="15">
        <f>IF($B184="","",IFERROR($I184/$H184,0))</f>
        <v/>
      </c>
      <c r="K184" s="20">
        <f>IF($A184="","",IF(COUNTIF(Contracts!$A$5:$A$204,$B184)=0,"No contract row for this vendor",IF(COUNTIF(Vendors!$A$5:$A$104,$B184)=0,"Not on the Vendors tab","")))</f>
        <v/>
      </c>
      <c r="L184" s="8" t="n"/>
    </row>
    <row r="185">
      <c r="A185" s="10" t="n"/>
      <c r="B185" s="8" t="n"/>
      <c r="C185" s="8" t="n"/>
      <c r="D185" s="8" t="n"/>
      <c r="E185" s="9" t="n"/>
      <c r="F185" s="8" t="n"/>
      <c r="G185" s="19">
        <f>IF($A185="","",DATE(YEAR($A185),MONTH($A185),1))</f>
        <v/>
      </c>
      <c r="H185" s="14">
        <f>IF($B185="","",SUMIFS(Contracts!$C$5:$C$204,Contracts!$A$5:$A$204,$B185))</f>
        <v/>
      </c>
      <c r="I185" s="14">
        <f>IF($B185="","",SUMIFS($E$5:$E$204,$B$5:$B$204,$B185))</f>
        <v/>
      </c>
      <c r="J185" s="15">
        <f>IF($B185="","",IFERROR($I185/$H185,0))</f>
        <v/>
      </c>
      <c r="K185" s="20">
        <f>IF($A185="","",IF(COUNTIF(Contracts!$A$5:$A$204,$B185)=0,"No contract row for this vendor",IF(COUNTIF(Vendors!$A$5:$A$104,$B185)=0,"Not on the Vendors tab","")))</f>
        <v/>
      </c>
      <c r="L185" s="8" t="n"/>
    </row>
    <row r="186">
      <c r="A186" s="10" t="n"/>
      <c r="B186" s="8" t="n"/>
      <c r="C186" s="8" t="n"/>
      <c r="D186" s="8" t="n"/>
      <c r="E186" s="9" t="n"/>
      <c r="F186" s="8" t="n"/>
      <c r="G186" s="19">
        <f>IF($A186="","",DATE(YEAR($A186),MONTH($A186),1))</f>
        <v/>
      </c>
      <c r="H186" s="14">
        <f>IF($B186="","",SUMIFS(Contracts!$C$5:$C$204,Contracts!$A$5:$A$204,$B186))</f>
        <v/>
      </c>
      <c r="I186" s="14">
        <f>IF($B186="","",SUMIFS($E$5:$E$204,$B$5:$B$204,$B186))</f>
        <v/>
      </c>
      <c r="J186" s="15">
        <f>IF($B186="","",IFERROR($I186/$H186,0))</f>
        <v/>
      </c>
      <c r="K186" s="20">
        <f>IF($A186="","",IF(COUNTIF(Contracts!$A$5:$A$204,$B186)=0,"No contract row for this vendor",IF(COUNTIF(Vendors!$A$5:$A$104,$B186)=0,"Not on the Vendors tab","")))</f>
        <v/>
      </c>
      <c r="L186" s="8" t="n"/>
    </row>
    <row r="187">
      <c r="A187" s="10" t="n"/>
      <c r="B187" s="8" t="n"/>
      <c r="C187" s="8" t="n"/>
      <c r="D187" s="8" t="n"/>
      <c r="E187" s="9" t="n"/>
      <c r="F187" s="8" t="n"/>
      <c r="G187" s="19">
        <f>IF($A187="","",DATE(YEAR($A187),MONTH($A187),1))</f>
        <v/>
      </c>
      <c r="H187" s="14">
        <f>IF($B187="","",SUMIFS(Contracts!$C$5:$C$204,Contracts!$A$5:$A$204,$B187))</f>
        <v/>
      </c>
      <c r="I187" s="14">
        <f>IF($B187="","",SUMIFS($E$5:$E$204,$B$5:$B$204,$B187))</f>
        <v/>
      </c>
      <c r="J187" s="15">
        <f>IF($B187="","",IFERROR($I187/$H187,0))</f>
        <v/>
      </c>
      <c r="K187" s="20">
        <f>IF($A187="","",IF(COUNTIF(Contracts!$A$5:$A$204,$B187)=0,"No contract row for this vendor",IF(COUNTIF(Vendors!$A$5:$A$104,$B187)=0,"Not on the Vendors tab","")))</f>
        <v/>
      </c>
      <c r="L187" s="8" t="n"/>
    </row>
    <row r="188">
      <c r="A188" s="10" t="n"/>
      <c r="B188" s="8" t="n"/>
      <c r="C188" s="8" t="n"/>
      <c r="D188" s="8" t="n"/>
      <c r="E188" s="9" t="n"/>
      <c r="F188" s="8" t="n"/>
      <c r="G188" s="19">
        <f>IF($A188="","",DATE(YEAR($A188),MONTH($A188),1))</f>
        <v/>
      </c>
      <c r="H188" s="14">
        <f>IF($B188="","",SUMIFS(Contracts!$C$5:$C$204,Contracts!$A$5:$A$204,$B188))</f>
        <v/>
      </c>
      <c r="I188" s="14">
        <f>IF($B188="","",SUMIFS($E$5:$E$204,$B$5:$B$204,$B188))</f>
        <v/>
      </c>
      <c r="J188" s="15">
        <f>IF($B188="","",IFERROR($I188/$H188,0))</f>
        <v/>
      </c>
      <c r="K188" s="20">
        <f>IF($A188="","",IF(COUNTIF(Contracts!$A$5:$A$204,$B188)=0,"No contract row for this vendor",IF(COUNTIF(Vendors!$A$5:$A$104,$B188)=0,"Not on the Vendors tab","")))</f>
        <v/>
      </c>
      <c r="L188" s="8" t="n"/>
    </row>
    <row r="189">
      <c r="A189" s="10" t="n"/>
      <c r="B189" s="8" t="n"/>
      <c r="C189" s="8" t="n"/>
      <c r="D189" s="8" t="n"/>
      <c r="E189" s="9" t="n"/>
      <c r="F189" s="8" t="n"/>
      <c r="G189" s="19">
        <f>IF($A189="","",DATE(YEAR($A189),MONTH($A189),1))</f>
        <v/>
      </c>
      <c r="H189" s="14">
        <f>IF($B189="","",SUMIFS(Contracts!$C$5:$C$204,Contracts!$A$5:$A$204,$B189))</f>
        <v/>
      </c>
      <c r="I189" s="14">
        <f>IF($B189="","",SUMIFS($E$5:$E$204,$B$5:$B$204,$B189))</f>
        <v/>
      </c>
      <c r="J189" s="15">
        <f>IF($B189="","",IFERROR($I189/$H189,0))</f>
        <v/>
      </c>
      <c r="K189" s="20">
        <f>IF($A189="","",IF(COUNTIF(Contracts!$A$5:$A$204,$B189)=0,"No contract row for this vendor",IF(COUNTIF(Vendors!$A$5:$A$104,$B189)=0,"Not on the Vendors tab","")))</f>
        <v/>
      </c>
      <c r="L189" s="8" t="n"/>
    </row>
    <row r="190">
      <c r="A190" s="10" t="n"/>
      <c r="B190" s="8" t="n"/>
      <c r="C190" s="8" t="n"/>
      <c r="D190" s="8" t="n"/>
      <c r="E190" s="9" t="n"/>
      <c r="F190" s="8" t="n"/>
      <c r="G190" s="19">
        <f>IF($A190="","",DATE(YEAR($A190),MONTH($A190),1))</f>
        <v/>
      </c>
      <c r="H190" s="14">
        <f>IF($B190="","",SUMIFS(Contracts!$C$5:$C$204,Contracts!$A$5:$A$204,$B190))</f>
        <v/>
      </c>
      <c r="I190" s="14">
        <f>IF($B190="","",SUMIFS($E$5:$E$204,$B$5:$B$204,$B190))</f>
        <v/>
      </c>
      <c r="J190" s="15">
        <f>IF($B190="","",IFERROR($I190/$H190,0))</f>
        <v/>
      </c>
      <c r="K190" s="20">
        <f>IF($A190="","",IF(COUNTIF(Contracts!$A$5:$A$204,$B190)=0,"No contract row for this vendor",IF(COUNTIF(Vendors!$A$5:$A$104,$B190)=0,"Not on the Vendors tab","")))</f>
        <v/>
      </c>
      <c r="L190" s="8" t="n"/>
    </row>
    <row r="191">
      <c r="A191" s="10" t="n"/>
      <c r="B191" s="8" t="n"/>
      <c r="C191" s="8" t="n"/>
      <c r="D191" s="8" t="n"/>
      <c r="E191" s="9" t="n"/>
      <c r="F191" s="8" t="n"/>
      <c r="G191" s="19">
        <f>IF($A191="","",DATE(YEAR($A191),MONTH($A191),1))</f>
        <v/>
      </c>
      <c r="H191" s="14">
        <f>IF($B191="","",SUMIFS(Contracts!$C$5:$C$204,Contracts!$A$5:$A$204,$B191))</f>
        <v/>
      </c>
      <c r="I191" s="14">
        <f>IF($B191="","",SUMIFS($E$5:$E$204,$B$5:$B$204,$B191))</f>
        <v/>
      </c>
      <c r="J191" s="15">
        <f>IF($B191="","",IFERROR($I191/$H191,0))</f>
        <v/>
      </c>
      <c r="K191" s="20">
        <f>IF($A191="","",IF(COUNTIF(Contracts!$A$5:$A$204,$B191)=0,"No contract row for this vendor",IF(COUNTIF(Vendors!$A$5:$A$104,$B191)=0,"Not on the Vendors tab","")))</f>
        <v/>
      </c>
      <c r="L191" s="8" t="n"/>
    </row>
    <row r="192">
      <c r="A192" s="10" t="n"/>
      <c r="B192" s="8" t="n"/>
      <c r="C192" s="8" t="n"/>
      <c r="D192" s="8" t="n"/>
      <c r="E192" s="9" t="n"/>
      <c r="F192" s="8" t="n"/>
      <c r="G192" s="19">
        <f>IF($A192="","",DATE(YEAR($A192),MONTH($A192),1))</f>
        <v/>
      </c>
      <c r="H192" s="14">
        <f>IF($B192="","",SUMIFS(Contracts!$C$5:$C$204,Contracts!$A$5:$A$204,$B192))</f>
        <v/>
      </c>
      <c r="I192" s="14">
        <f>IF($B192="","",SUMIFS($E$5:$E$204,$B$5:$B$204,$B192))</f>
        <v/>
      </c>
      <c r="J192" s="15">
        <f>IF($B192="","",IFERROR($I192/$H192,0))</f>
        <v/>
      </c>
      <c r="K192" s="20">
        <f>IF($A192="","",IF(COUNTIF(Contracts!$A$5:$A$204,$B192)=0,"No contract row for this vendor",IF(COUNTIF(Vendors!$A$5:$A$104,$B192)=0,"Not on the Vendors tab","")))</f>
        <v/>
      </c>
      <c r="L192" s="8" t="n"/>
    </row>
    <row r="193">
      <c r="A193" s="10" t="n"/>
      <c r="B193" s="8" t="n"/>
      <c r="C193" s="8" t="n"/>
      <c r="D193" s="8" t="n"/>
      <c r="E193" s="9" t="n"/>
      <c r="F193" s="8" t="n"/>
      <c r="G193" s="19">
        <f>IF($A193="","",DATE(YEAR($A193),MONTH($A193),1))</f>
        <v/>
      </c>
      <c r="H193" s="14">
        <f>IF($B193="","",SUMIFS(Contracts!$C$5:$C$204,Contracts!$A$5:$A$204,$B193))</f>
        <v/>
      </c>
      <c r="I193" s="14">
        <f>IF($B193="","",SUMIFS($E$5:$E$204,$B$5:$B$204,$B193))</f>
        <v/>
      </c>
      <c r="J193" s="15">
        <f>IF($B193="","",IFERROR($I193/$H193,0))</f>
        <v/>
      </c>
      <c r="K193" s="20">
        <f>IF($A193="","",IF(COUNTIF(Contracts!$A$5:$A$204,$B193)=0,"No contract row for this vendor",IF(COUNTIF(Vendors!$A$5:$A$104,$B193)=0,"Not on the Vendors tab","")))</f>
        <v/>
      </c>
      <c r="L193" s="8" t="n"/>
    </row>
    <row r="194">
      <c r="A194" s="10" t="n"/>
      <c r="B194" s="8" t="n"/>
      <c r="C194" s="8" t="n"/>
      <c r="D194" s="8" t="n"/>
      <c r="E194" s="9" t="n"/>
      <c r="F194" s="8" t="n"/>
      <c r="G194" s="19">
        <f>IF($A194="","",DATE(YEAR($A194),MONTH($A194),1))</f>
        <v/>
      </c>
      <c r="H194" s="14">
        <f>IF($B194="","",SUMIFS(Contracts!$C$5:$C$204,Contracts!$A$5:$A$204,$B194))</f>
        <v/>
      </c>
      <c r="I194" s="14">
        <f>IF($B194="","",SUMIFS($E$5:$E$204,$B$5:$B$204,$B194))</f>
        <v/>
      </c>
      <c r="J194" s="15">
        <f>IF($B194="","",IFERROR($I194/$H194,0))</f>
        <v/>
      </c>
      <c r="K194" s="20">
        <f>IF($A194="","",IF(COUNTIF(Contracts!$A$5:$A$204,$B194)=0,"No contract row for this vendor",IF(COUNTIF(Vendors!$A$5:$A$104,$B194)=0,"Not on the Vendors tab","")))</f>
        <v/>
      </c>
      <c r="L194" s="8" t="n"/>
    </row>
    <row r="195">
      <c r="A195" s="10" t="n"/>
      <c r="B195" s="8" t="n"/>
      <c r="C195" s="8" t="n"/>
      <c r="D195" s="8" t="n"/>
      <c r="E195" s="9" t="n"/>
      <c r="F195" s="8" t="n"/>
      <c r="G195" s="19">
        <f>IF($A195="","",DATE(YEAR($A195),MONTH($A195),1))</f>
        <v/>
      </c>
      <c r="H195" s="14">
        <f>IF($B195="","",SUMIFS(Contracts!$C$5:$C$204,Contracts!$A$5:$A$204,$B195))</f>
        <v/>
      </c>
      <c r="I195" s="14">
        <f>IF($B195="","",SUMIFS($E$5:$E$204,$B$5:$B$204,$B195))</f>
        <v/>
      </c>
      <c r="J195" s="15">
        <f>IF($B195="","",IFERROR($I195/$H195,0))</f>
        <v/>
      </c>
      <c r="K195" s="20">
        <f>IF($A195="","",IF(COUNTIF(Contracts!$A$5:$A$204,$B195)=0,"No contract row for this vendor",IF(COUNTIF(Vendors!$A$5:$A$104,$B195)=0,"Not on the Vendors tab","")))</f>
        <v/>
      </c>
      <c r="L195" s="8" t="n"/>
    </row>
    <row r="196">
      <c r="A196" s="10" t="n"/>
      <c r="B196" s="8" t="n"/>
      <c r="C196" s="8" t="n"/>
      <c r="D196" s="8" t="n"/>
      <c r="E196" s="9" t="n"/>
      <c r="F196" s="8" t="n"/>
      <c r="G196" s="19">
        <f>IF($A196="","",DATE(YEAR($A196),MONTH($A196),1))</f>
        <v/>
      </c>
      <c r="H196" s="14">
        <f>IF($B196="","",SUMIFS(Contracts!$C$5:$C$204,Contracts!$A$5:$A$204,$B196))</f>
        <v/>
      </c>
      <c r="I196" s="14">
        <f>IF($B196="","",SUMIFS($E$5:$E$204,$B$5:$B$204,$B196))</f>
        <v/>
      </c>
      <c r="J196" s="15">
        <f>IF($B196="","",IFERROR($I196/$H196,0))</f>
        <v/>
      </c>
      <c r="K196" s="20">
        <f>IF($A196="","",IF(COUNTIF(Contracts!$A$5:$A$204,$B196)=0,"No contract row for this vendor",IF(COUNTIF(Vendors!$A$5:$A$104,$B196)=0,"Not on the Vendors tab","")))</f>
        <v/>
      </c>
      <c r="L196" s="8" t="n"/>
    </row>
    <row r="197">
      <c r="A197" s="10" t="n"/>
      <c r="B197" s="8" t="n"/>
      <c r="C197" s="8" t="n"/>
      <c r="D197" s="8" t="n"/>
      <c r="E197" s="9" t="n"/>
      <c r="F197" s="8" t="n"/>
      <c r="G197" s="19">
        <f>IF($A197="","",DATE(YEAR($A197),MONTH($A197),1))</f>
        <v/>
      </c>
      <c r="H197" s="14">
        <f>IF($B197="","",SUMIFS(Contracts!$C$5:$C$204,Contracts!$A$5:$A$204,$B197))</f>
        <v/>
      </c>
      <c r="I197" s="14">
        <f>IF($B197="","",SUMIFS($E$5:$E$204,$B$5:$B$204,$B197))</f>
        <v/>
      </c>
      <c r="J197" s="15">
        <f>IF($B197="","",IFERROR($I197/$H197,0))</f>
        <v/>
      </c>
      <c r="K197" s="20">
        <f>IF($A197="","",IF(COUNTIF(Contracts!$A$5:$A$204,$B197)=0,"No contract row for this vendor",IF(COUNTIF(Vendors!$A$5:$A$104,$B197)=0,"Not on the Vendors tab","")))</f>
        <v/>
      </c>
      <c r="L197" s="8" t="n"/>
    </row>
    <row r="198">
      <c r="A198" s="10" t="n"/>
      <c r="B198" s="8" t="n"/>
      <c r="C198" s="8" t="n"/>
      <c r="D198" s="8" t="n"/>
      <c r="E198" s="9" t="n"/>
      <c r="F198" s="8" t="n"/>
      <c r="G198" s="19">
        <f>IF($A198="","",DATE(YEAR($A198),MONTH($A198),1))</f>
        <v/>
      </c>
      <c r="H198" s="14">
        <f>IF($B198="","",SUMIFS(Contracts!$C$5:$C$204,Contracts!$A$5:$A$204,$B198))</f>
        <v/>
      </c>
      <c r="I198" s="14">
        <f>IF($B198="","",SUMIFS($E$5:$E$204,$B$5:$B$204,$B198))</f>
        <v/>
      </c>
      <c r="J198" s="15">
        <f>IF($B198="","",IFERROR($I198/$H198,0))</f>
        <v/>
      </c>
      <c r="K198" s="20">
        <f>IF($A198="","",IF(COUNTIF(Contracts!$A$5:$A$204,$B198)=0,"No contract row for this vendor",IF(COUNTIF(Vendors!$A$5:$A$104,$B198)=0,"Not on the Vendors tab","")))</f>
        <v/>
      </c>
      <c r="L198" s="8" t="n"/>
    </row>
    <row r="199">
      <c r="A199" s="10" t="n"/>
      <c r="B199" s="8" t="n"/>
      <c r="C199" s="8" t="n"/>
      <c r="D199" s="8" t="n"/>
      <c r="E199" s="9" t="n"/>
      <c r="F199" s="8" t="n"/>
      <c r="G199" s="19">
        <f>IF($A199="","",DATE(YEAR($A199),MONTH($A199),1))</f>
        <v/>
      </c>
      <c r="H199" s="14">
        <f>IF($B199="","",SUMIFS(Contracts!$C$5:$C$204,Contracts!$A$5:$A$204,$B199))</f>
        <v/>
      </c>
      <c r="I199" s="14">
        <f>IF($B199="","",SUMIFS($E$5:$E$204,$B$5:$B$204,$B199))</f>
        <v/>
      </c>
      <c r="J199" s="15">
        <f>IF($B199="","",IFERROR($I199/$H199,0))</f>
        <v/>
      </c>
      <c r="K199" s="20">
        <f>IF($A199="","",IF(COUNTIF(Contracts!$A$5:$A$204,$B199)=0,"No contract row for this vendor",IF(COUNTIF(Vendors!$A$5:$A$104,$B199)=0,"Not on the Vendors tab","")))</f>
        <v/>
      </c>
      <c r="L199" s="8" t="n"/>
    </row>
    <row r="200">
      <c r="A200" s="10" t="n"/>
      <c r="B200" s="8" t="n"/>
      <c r="C200" s="8" t="n"/>
      <c r="D200" s="8" t="n"/>
      <c r="E200" s="9" t="n"/>
      <c r="F200" s="8" t="n"/>
      <c r="G200" s="19">
        <f>IF($A200="","",DATE(YEAR($A200),MONTH($A200),1))</f>
        <v/>
      </c>
      <c r="H200" s="14">
        <f>IF($B200="","",SUMIFS(Contracts!$C$5:$C$204,Contracts!$A$5:$A$204,$B200))</f>
        <v/>
      </c>
      <c r="I200" s="14">
        <f>IF($B200="","",SUMIFS($E$5:$E$204,$B$5:$B$204,$B200))</f>
        <v/>
      </c>
      <c r="J200" s="15">
        <f>IF($B200="","",IFERROR($I200/$H200,0))</f>
        <v/>
      </c>
      <c r="K200" s="20">
        <f>IF($A200="","",IF(COUNTIF(Contracts!$A$5:$A$204,$B200)=0,"No contract row for this vendor",IF(COUNTIF(Vendors!$A$5:$A$104,$B200)=0,"Not on the Vendors tab","")))</f>
        <v/>
      </c>
      <c r="L200" s="8" t="n"/>
    </row>
    <row r="201">
      <c r="A201" s="10" t="n"/>
      <c r="B201" s="8" t="n"/>
      <c r="C201" s="8" t="n"/>
      <c r="D201" s="8" t="n"/>
      <c r="E201" s="9" t="n"/>
      <c r="F201" s="8" t="n"/>
      <c r="G201" s="19">
        <f>IF($A201="","",DATE(YEAR($A201),MONTH($A201),1))</f>
        <v/>
      </c>
      <c r="H201" s="14">
        <f>IF($B201="","",SUMIFS(Contracts!$C$5:$C$204,Contracts!$A$5:$A$204,$B201))</f>
        <v/>
      </c>
      <c r="I201" s="14">
        <f>IF($B201="","",SUMIFS($E$5:$E$204,$B$5:$B$204,$B201))</f>
        <v/>
      </c>
      <c r="J201" s="15">
        <f>IF($B201="","",IFERROR($I201/$H201,0))</f>
        <v/>
      </c>
      <c r="K201" s="20">
        <f>IF($A201="","",IF(COUNTIF(Contracts!$A$5:$A$204,$B201)=0,"No contract row for this vendor",IF(COUNTIF(Vendors!$A$5:$A$104,$B201)=0,"Not on the Vendors tab","")))</f>
        <v/>
      </c>
      <c r="L201" s="8" t="n"/>
    </row>
    <row r="202">
      <c r="A202" s="10" t="n"/>
      <c r="B202" s="8" t="n"/>
      <c r="C202" s="8" t="n"/>
      <c r="D202" s="8" t="n"/>
      <c r="E202" s="9" t="n"/>
      <c r="F202" s="8" t="n"/>
      <c r="G202" s="19">
        <f>IF($A202="","",DATE(YEAR($A202),MONTH($A202),1))</f>
        <v/>
      </c>
      <c r="H202" s="14">
        <f>IF($B202="","",SUMIFS(Contracts!$C$5:$C$204,Contracts!$A$5:$A$204,$B202))</f>
        <v/>
      </c>
      <c r="I202" s="14">
        <f>IF($B202="","",SUMIFS($E$5:$E$204,$B$5:$B$204,$B202))</f>
        <v/>
      </c>
      <c r="J202" s="15">
        <f>IF($B202="","",IFERROR($I202/$H202,0))</f>
        <v/>
      </c>
      <c r="K202" s="20">
        <f>IF($A202="","",IF(COUNTIF(Contracts!$A$5:$A$204,$B202)=0,"No contract row for this vendor",IF(COUNTIF(Vendors!$A$5:$A$104,$B202)=0,"Not on the Vendors tab","")))</f>
        <v/>
      </c>
      <c r="L202" s="8" t="n"/>
    </row>
    <row r="203">
      <c r="A203" s="10" t="n"/>
      <c r="B203" s="8" t="n"/>
      <c r="C203" s="8" t="n"/>
      <c r="D203" s="8" t="n"/>
      <c r="E203" s="9" t="n"/>
      <c r="F203" s="8" t="n"/>
      <c r="G203" s="19">
        <f>IF($A203="","",DATE(YEAR($A203),MONTH($A203),1))</f>
        <v/>
      </c>
      <c r="H203" s="14">
        <f>IF($B203="","",SUMIFS(Contracts!$C$5:$C$204,Contracts!$A$5:$A$204,$B203))</f>
        <v/>
      </c>
      <c r="I203" s="14">
        <f>IF($B203="","",SUMIFS($E$5:$E$204,$B$5:$B$204,$B203))</f>
        <v/>
      </c>
      <c r="J203" s="15">
        <f>IF($B203="","",IFERROR($I203/$H203,0))</f>
        <v/>
      </c>
      <c r="K203" s="20">
        <f>IF($A203="","",IF(COUNTIF(Contracts!$A$5:$A$204,$B203)=0,"No contract row for this vendor",IF(COUNTIF(Vendors!$A$5:$A$104,$B203)=0,"Not on the Vendors tab","")))</f>
        <v/>
      </c>
      <c r="L203" s="8" t="n"/>
    </row>
    <row r="204">
      <c r="A204" s="10" t="n"/>
      <c r="B204" s="8" t="n"/>
      <c r="C204" s="8" t="n"/>
      <c r="D204" s="8" t="n"/>
      <c r="E204" s="9" t="n"/>
      <c r="F204" s="8" t="n"/>
      <c r="G204" s="19">
        <f>IF($A204="","",DATE(YEAR($A204),MONTH($A204),1))</f>
        <v/>
      </c>
      <c r="H204" s="14">
        <f>IF($B204="","",SUMIFS(Contracts!$C$5:$C$204,Contracts!$A$5:$A$204,$B204))</f>
        <v/>
      </c>
      <c r="I204" s="14">
        <f>IF($B204="","",SUMIFS($E$5:$E$204,$B$5:$B$204,$B204))</f>
        <v/>
      </c>
      <c r="J204" s="15">
        <f>IF($B204="","",IFERROR($I204/$H204,0))</f>
        <v/>
      </c>
      <c r="K204" s="20">
        <f>IF($A204="","",IF(COUNTIF(Contracts!$A$5:$A$204,$B204)=0,"No contract row for this vendor",IF(COUNTIF(Vendors!$A$5:$A$104,$B204)=0,"Not on the Vendors tab","")))</f>
        <v/>
      </c>
      <c r="L204" s="8" t="n"/>
    </row>
  </sheetData>
  <conditionalFormatting sqref="K5:K204">
    <cfRule type="cellIs" priority="1" operator="notEqual" dxfId="2">
      <formula>""</formula>
    </cfRule>
  </conditionalFormatting>
  <dataValidations count="1">
    <dataValidation sqref="F5:F204" showDropDown="0" showInputMessage="0" showErrorMessage="0" allowBlank="1" type="list">
      <formula1>"Yes,No"</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91"/>
  <sheetViews>
    <sheetView workbookViewId="0">
      <selection activeCell="A1" sqref="A1"/>
    </sheetView>
  </sheetViews>
  <sheetFormatPr baseColWidth="8" defaultRowHeight="15"/>
  <cols>
    <col width="18" customWidth="1" min="1" max="1"/>
    <col width="11" customWidth="1" min="2" max="2"/>
    <col width="13" customWidth="1" min="3" max="3"/>
    <col width="13" customWidth="1" min="4" max="4"/>
    <col width="9" customWidth="1" min="5" max="5"/>
    <col width="9" customWidth="1" min="6" max="6"/>
    <col width="16" customWidth="1" min="7" max="7"/>
    <col width="12" customWidth="1" min="8" max="8"/>
    <col width="11" customWidth="1" min="9" max="9"/>
    <col width="13" customWidth="1" min="10" max="10"/>
  </cols>
  <sheetData>
    <row r="1">
      <c r="A1" s="1" t="inlineStr">
        <is>
          <t>Calendar</t>
        </is>
      </c>
    </row>
    <row r="2">
      <c r="A2" s="2" t="inlineStr">
        <is>
          <t>Every notice deadline in date order, soonest first. All calculated: type the owner names in the lower block and nothing else. Add a contract and it appears here.</t>
        </is>
      </c>
    </row>
    <row r="3">
      <c r="A3" s="3" t="inlineStr">
        <is>
          <t>As of</t>
        </is>
      </c>
      <c r="C3" s="11">
        <f>TODAY()</f>
        <v/>
      </c>
      <c r="E3" s="2" t="inlineStr">
        <is>
          <t>Days left counts down on its own — the file is a reminder only if somebody opens it, which is what the Apps Script note in the README is for.</t>
        </is>
      </c>
    </row>
    <row r="5">
      <c r="A5" s="7" t="inlineStr">
        <is>
          <t>Measure</t>
        </is>
      </c>
      <c r="B5" s="7" t="inlineStr">
        <is>
          <t>Value</t>
        </is>
      </c>
    </row>
    <row r="6">
      <c r="A6" s="21" t="inlineStr">
        <is>
          <t>Contracts listed</t>
        </is>
      </c>
      <c r="B6" s="16">
        <f>COUNTA(Contracts!$A$5:$A$204)</f>
        <v/>
      </c>
    </row>
    <row r="7">
      <c r="A7" s="21" t="inlineStr">
        <is>
          <t>Total annual contracted value</t>
        </is>
      </c>
      <c r="B7" s="14">
        <f>SUM(Contracts!$C$5:$C$204)</f>
        <v/>
      </c>
    </row>
    <row r="8">
      <c r="A8" s="21" t="inlineStr">
        <is>
          <t>Notice windows already missed</t>
        </is>
      </c>
      <c r="B8" s="12">
        <f>COUNTIFS(Contracts!$H$5:$H$204,"MISSED")</f>
        <v/>
      </c>
    </row>
    <row r="9">
      <c r="A9" s="21" t="inlineStr">
        <is>
          <t>Annual value with a missed window</t>
        </is>
      </c>
      <c r="B9" s="17">
        <f>SUMIFS(Contracts!$C$5:$C$204,Contracts!$H$5:$H$204,"MISSED")</f>
        <v/>
      </c>
    </row>
    <row r="10">
      <c r="A10" s="21" t="inlineStr">
        <is>
          <t>Needing a decision now</t>
        </is>
      </c>
      <c r="B10" s="16">
        <f>COUNTIFS(Contracts!$H$5:$H$204,"ACT NOW")</f>
        <v/>
      </c>
    </row>
    <row r="11">
      <c r="A11" s="21" t="inlineStr">
        <is>
          <t>Annual value needing a decision now</t>
        </is>
      </c>
      <c r="B11" s="14">
        <f>SUMIFS(Contracts!$C$5:$C$204,Contracts!$H$5:$H$204,"ACT NOW")</f>
        <v/>
      </c>
    </row>
    <row r="12">
      <c r="A12" s="21" t="inlineStr">
        <is>
          <t>Deadlines in the next 30 days</t>
        </is>
      </c>
      <c r="B12" s="16">
        <f>COUNTIFS(Contracts!$F$5:$F$204,"&gt;=0",Contracts!$F$5:$F$204,"&lt;=30")</f>
        <v/>
      </c>
    </row>
    <row r="13">
      <c r="A13" s="21" t="inlineStr">
        <is>
          <t>Deadlines in the next 60 days</t>
        </is>
      </c>
      <c r="B13" s="16">
        <f>COUNTIFS(Contracts!$F$5:$F$204,"&gt;=0",Contracts!$F$5:$F$204,"&lt;=60")</f>
        <v/>
      </c>
    </row>
    <row r="14">
      <c r="A14" s="21" t="inlineStr">
        <is>
          <t>Deadlines in the next 90 days</t>
        </is>
      </c>
      <c r="B14" s="16">
        <f>COUNTIFS(Contracts!$F$5:$F$204,"&gt;=0",Contracts!$F$5:$F$204,"&lt;=90")</f>
        <v/>
      </c>
    </row>
    <row r="15">
      <c r="A15" s="21" t="inlineStr">
        <is>
          <t>Annual value up for decision in 90 days</t>
        </is>
      </c>
      <c r="B15" s="14">
        <f>SUMIFS(Contracts!$C$5:$C$204,Contracts!$F$5:$F$204,"&gt;=0",Contracts!$F$5:$F$204,"&lt;=90")</f>
        <v/>
      </c>
    </row>
    <row r="16">
      <c r="A16" s="21" t="inlineStr">
        <is>
          <t>Auto-renewing contracts</t>
        </is>
      </c>
      <c r="B16" s="16">
        <f>COUNTIFS(Contracts!$K$5:$K$204,"Yes")</f>
        <v/>
      </c>
    </row>
    <row r="17">
      <c r="A17" s="21" t="inlineStr">
        <is>
          <t>Contracts with no owner</t>
        </is>
      </c>
      <c r="B17" s="16">
        <f>COUNTIFS(Contracts!$A$5:$A$204,"&lt;&gt;",Contracts!$B$5:$B$204,"")</f>
        <v/>
      </c>
    </row>
    <row r="18">
      <c r="A18" s="21" t="inlineStr">
        <is>
          <t>Contracts with no renewal date</t>
        </is>
      </c>
      <c r="B18" s="16">
        <f>COUNTIFS(Contracts!$A$5:$A$204,"&lt;&gt;",Contracts!$D$5:$D$204,"")</f>
        <v/>
      </c>
    </row>
    <row r="19">
      <c r="A19" s="21" t="inlineStr">
        <is>
          <t>Still undecided inside the window</t>
        </is>
      </c>
      <c r="B19" s="16">
        <f>COUNTIFS(Contracts!$H$5:$H$204,"ACT NOW",Contracts!$P$5:$P$204,"Undecided")</f>
        <v/>
      </c>
    </row>
    <row r="22">
      <c r="A22" s="3" t="inlineStr">
        <is>
          <t>Notice deadlines, soonest first</t>
        </is>
      </c>
    </row>
    <row r="23">
      <c r="A23" s="7" t="inlineStr">
        <is>
          <t>#</t>
        </is>
      </c>
      <c r="B23" s="7" t="inlineStr">
        <is>
          <t>Vendor</t>
        </is>
      </c>
      <c r="C23" s="7" t="inlineStr">
        <is>
          <t>Owner</t>
        </is>
      </c>
      <c r="D23" s="7" t="inlineStr">
        <is>
          <t>Notice by</t>
        </is>
      </c>
      <c r="E23" s="7" t="inlineStr">
        <is>
          <t>Days left</t>
        </is>
      </c>
      <c r="F23" s="7" t="inlineStr">
        <is>
          <t>Status</t>
        </is>
      </c>
      <c r="G23" s="7" t="inlineStr">
        <is>
          <t>Annual</t>
        </is>
      </c>
      <c r="H23" s="7" t="inlineStr">
        <is>
          <t>Renews</t>
        </is>
      </c>
      <c r="I23" s="7" t="inlineStr">
        <is>
          <t>Auto-renews</t>
        </is>
      </c>
      <c r="J23" s="7" t="inlineStr">
        <is>
          <t>Decision</t>
        </is>
      </c>
    </row>
    <row r="24">
      <c r="A24" s="16">
        <f>IF($B24="","",1)</f>
        <v/>
      </c>
      <c r="B24" s="20">
        <f>IFERROR(INDEX(Contracts!$A$5:$A$204,MATCH(1,Contracts!$R$5:$R$204,0)),"")</f>
        <v/>
      </c>
      <c r="C24" s="20">
        <f>IF($B24="","",INDEX(Contracts!$B$5:$B$204,MATCH(1,Contracts!$R$5:$R$204,0)))</f>
        <v/>
      </c>
      <c r="D24" s="11">
        <f>IF($B24="","",INDEX(Contracts!$E$5:$E$204,MATCH(1,Contracts!$R$5:$R$204,0)))</f>
        <v/>
      </c>
      <c r="E24" s="12">
        <f>IF($B24="","",INDEX(Contracts!$F$5:$F$204,MATCH(1,Contracts!$R$5:$R$204,0)))</f>
        <v/>
      </c>
      <c r="F24" s="13">
        <f>IF($B24="","",INDEX(Contracts!$H$5:$H$204,MATCH(1,Contracts!$R$5:$R$204,0)))</f>
        <v/>
      </c>
      <c r="G24" s="14">
        <f>IF($B24="","",INDEX(Contracts!$C$5:$C$204,MATCH(1,Contracts!$R$5:$R$204,0)))</f>
        <v/>
      </c>
      <c r="H24" s="22">
        <f>IF($B24="","",INDEX(Contracts!$D$5:$D$204,MATCH(1,Contracts!$R$5:$R$204,0)))</f>
        <v/>
      </c>
      <c r="I24" s="20">
        <f>IF($B24="","",INDEX(Contracts!$K$5:$K$204,MATCH(1,Contracts!$R$5:$R$204,0)))</f>
        <v/>
      </c>
      <c r="J24" s="20">
        <f>IF($B24="","",INDEX(Contracts!$P$5:$P$204,MATCH(1,Contracts!$R$5:$R$204,0)))</f>
        <v/>
      </c>
    </row>
    <row r="25">
      <c r="A25" s="16">
        <f>IF($B25="","",2)</f>
        <v/>
      </c>
      <c r="B25" s="20">
        <f>IFERROR(INDEX(Contracts!$A$5:$A$204,MATCH(2,Contracts!$R$5:$R$204,0)),"")</f>
        <v/>
      </c>
      <c r="C25" s="20">
        <f>IF($B25="","",INDEX(Contracts!$B$5:$B$204,MATCH(2,Contracts!$R$5:$R$204,0)))</f>
        <v/>
      </c>
      <c r="D25" s="11">
        <f>IF($B25="","",INDEX(Contracts!$E$5:$E$204,MATCH(2,Contracts!$R$5:$R$204,0)))</f>
        <v/>
      </c>
      <c r="E25" s="12">
        <f>IF($B25="","",INDEX(Contracts!$F$5:$F$204,MATCH(2,Contracts!$R$5:$R$204,0)))</f>
        <v/>
      </c>
      <c r="F25" s="13">
        <f>IF($B25="","",INDEX(Contracts!$H$5:$H$204,MATCH(2,Contracts!$R$5:$R$204,0)))</f>
        <v/>
      </c>
      <c r="G25" s="14">
        <f>IF($B25="","",INDEX(Contracts!$C$5:$C$204,MATCH(2,Contracts!$R$5:$R$204,0)))</f>
        <v/>
      </c>
      <c r="H25" s="22">
        <f>IF($B25="","",INDEX(Contracts!$D$5:$D$204,MATCH(2,Contracts!$R$5:$R$204,0)))</f>
        <v/>
      </c>
      <c r="I25" s="20">
        <f>IF($B25="","",INDEX(Contracts!$K$5:$K$204,MATCH(2,Contracts!$R$5:$R$204,0)))</f>
        <v/>
      </c>
      <c r="J25" s="20">
        <f>IF($B25="","",INDEX(Contracts!$P$5:$P$204,MATCH(2,Contracts!$R$5:$R$204,0)))</f>
        <v/>
      </c>
    </row>
    <row r="26">
      <c r="A26" s="16">
        <f>IF($B26="","",3)</f>
        <v/>
      </c>
      <c r="B26" s="20">
        <f>IFERROR(INDEX(Contracts!$A$5:$A$204,MATCH(3,Contracts!$R$5:$R$204,0)),"")</f>
        <v/>
      </c>
      <c r="C26" s="20">
        <f>IF($B26="","",INDEX(Contracts!$B$5:$B$204,MATCH(3,Contracts!$R$5:$R$204,0)))</f>
        <v/>
      </c>
      <c r="D26" s="11">
        <f>IF($B26="","",INDEX(Contracts!$E$5:$E$204,MATCH(3,Contracts!$R$5:$R$204,0)))</f>
        <v/>
      </c>
      <c r="E26" s="12">
        <f>IF($B26="","",INDEX(Contracts!$F$5:$F$204,MATCH(3,Contracts!$R$5:$R$204,0)))</f>
        <v/>
      </c>
      <c r="F26" s="13">
        <f>IF($B26="","",INDEX(Contracts!$H$5:$H$204,MATCH(3,Contracts!$R$5:$R$204,0)))</f>
        <v/>
      </c>
      <c r="G26" s="14">
        <f>IF($B26="","",INDEX(Contracts!$C$5:$C$204,MATCH(3,Contracts!$R$5:$R$204,0)))</f>
        <v/>
      </c>
      <c r="H26" s="22">
        <f>IF($B26="","",INDEX(Contracts!$D$5:$D$204,MATCH(3,Contracts!$R$5:$R$204,0)))</f>
        <v/>
      </c>
      <c r="I26" s="20">
        <f>IF($B26="","",INDEX(Contracts!$K$5:$K$204,MATCH(3,Contracts!$R$5:$R$204,0)))</f>
        <v/>
      </c>
      <c r="J26" s="20">
        <f>IF($B26="","",INDEX(Contracts!$P$5:$P$204,MATCH(3,Contracts!$R$5:$R$204,0)))</f>
        <v/>
      </c>
    </row>
    <row r="27">
      <c r="A27" s="16">
        <f>IF($B27="","",4)</f>
        <v/>
      </c>
      <c r="B27" s="20">
        <f>IFERROR(INDEX(Contracts!$A$5:$A$204,MATCH(4,Contracts!$R$5:$R$204,0)),"")</f>
        <v/>
      </c>
      <c r="C27" s="20">
        <f>IF($B27="","",INDEX(Contracts!$B$5:$B$204,MATCH(4,Contracts!$R$5:$R$204,0)))</f>
        <v/>
      </c>
      <c r="D27" s="11">
        <f>IF($B27="","",INDEX(Contracts!$E$5:$E$204,MATCH(4,Contracts!$R$5:$R$204,0)))</f>
        <v/>
      </c>
      <c r="E27" s="12">
        <f>IF($B27="","",INDEX(Contracts!$F$5:$F$204,MATCH(4,Contracts!$R$5:$R$204,0)))</f>
        <v/>
      </c>
      <c r="F27" s="13">
        <f>IF($B27="","",INDEX(Contracts!$H$5:$H$204,MATCH(4,Contracts!$R$5:$R$204,0)))</f>
        <v/>
      </c>
      <c r="G27" s="14">
        <f>IF($B27="","",INDEX(Contracts!$C$5:$C$204,MATCH(4,Contracts!$R$5:$R$204,0)))</f>
        <v/>
      </c>
      <c r="H27" s="22">
        <f>IF($B27="","",INDEX(Contracts!$D$5:$D$204,MATCH(4,Contracts!$R$5:$R$204,0)))</f>
        <v/>
      </c>
      <c r="I27" s="20">
        <f>IF($B27="","",INDEX(Contracts!$K$5:$K$204,MATCH(4,Contracts!$R$5:$R$204,0)))</f>
        <v/>
      </c>
      <c r="J27" s="20">
        <f>IF($B27="","",INDEX(Contracts!$P$5:$P$204,MATCH(4,Contracts!$R$5:$R$204,0)))</f>
        <v/>
      </c>
    </row>
    <row r="28">
      <c r="A28" s="16">
        <f>IF($B28="","",5)</f>
        <v/>
      </c>
      <c r="B28" s="20">
        <f>IFERROR(INDEX(Contracts!$A$5:$A$204,MATCH(5,Contracts!$R$5:$R$204,0)),"")</f>
        <v/>
      </c>
      <c r="C28" s="20">
        <f>IF($B28="","",INDEX(Contracts!$B$5:$B$204,MATCH(5,Contracts!$R$5:$R$204,0)))</f>
        <v/>
      </c>
      <c r="D28" s="11">
        <f>IF($B28="","",INDEX(Contracts!$E$5:$E$204,MATCH(5,Contracts!$R$5:$R$204,0)))</f>
        <v/>
      </c>
      <c r="E28" s="12">
        <f>IF($B28="","",INDEX(Contracts!$F$5:$F$204,MATCH(5,Contracts!$R$5:$R$204,0)))</f>
        <v/>
      </c>
      <c r="F28" s="13">
        <f>IF($B28="","",INDEX(Contracts!$H$5:$H$204,MATCH(5,Contracts!$R$5:$R$204,0)))</f>
        <v/>
      </c>
      <c r="G28" s="14">
        <f>IF($B28="","",INDEX(Contracts!$C$5:$C$204,MATCH(5,Contracts!$R$5:$R$204,0)))</f>
        <v/>
      </c>
      <c r="H28" s="22">
        <f>IF($B28="","",INDEX(Contracts!$D$5:$D$204,MATCH(5,Contracts!$R$5:$R$204,0)))</f>
        <v/>
      </c>
      <c r="I28" s="20">
        <f>IF($B28="","",INDEX(Contracts!$K$5:$K$204,MATCH(5,Contracts!$R$5:$R$204,0)))</f>
        <v/>
      </c>
      <c r="J28" s="20">
        <f>IF($B28="","",INDEX(Contracts!$P$5:$P$204,MATCH(5,Contracts!$R$5:$R$204,0)))</f>
        <v/>
      </c>
    </row>
    <row r="29">
      <c r="A29" s="16">
        <f>IF($B29="","",6)</f>
        <v/>
      </c>
      <c r="B29" s="20">
        <f>IFERROR(INDEX(Contracts!$A$5:$A$204,MATCH(6,Contracts!$R$5:$R$204,0)),"")</f>
        <v/>
      </c>
      <c r="C29" s="20">
        <f>IF($B29="","",INDEX(Contracts!$B$5:$B$204,MATCH(6,Contracts!$R$5:$R$204,0)))</f>
        <v/>
      </c>
      <c r="D29" s="11">
        <f>IF($B29="","",INDEX(Contracts!$E$5:$E$204,MATCH(6,Contracts!$R$5:$R$204,0)))</f>
        <v/>
      </c>
      <c r="E29" s="12">
        <f>IF($B29="","",INDEX(Contracts!$F$5:$F$204,MATCH(6,Contracts!$R$5:$R$204,0)))</f>
        <v/>
      </c>
      <c r="F29" s="13">
        <f>IF($B29="","",INDEX(Contracts!$H$5:$H$204,MATCH(6,Contracts!$R$5:$R$204,0)))</f>
        <v/>
      </c>
      <c r="G29" s="14">
        <f>IF($B29="","",INDEX(Contracts!$C$5:$C$204,MATCH(6,Contracts!$R$5:$R$204,0)))</f>
        <v/>
      </c>
      <c r="H29" s="22">
        <f>IF($B29="","",INDEX(Contracts!$D$5:$D$204,MATCH(6,Contracts!$R$5:$R$204,0)))</f>
        <v/>
      </c>
      <c r="I29" s="20">
        <f>IF($B29="","",INDEX(Contracts!$K$5:$K$204,MATCH(6,Contracts!$R$5:$R$204,0)))</f>
        <v/>
      </c>
      <c r="J29" s="20">
        <f>IF($B29="","",INDEX(Contracts!$P$5:$P$204,MATCH(6,Contracts!$R$5:$R$204,0)))</f>
        <v/>
      </c>
    </row>
    <row r="30">
      <c r="A30" s="16">
        <f>IF($B30="","",7)</f>
        <v/>
      </c>
      <c r="B30" s="20">
        <f>IFERROR(INDEX(Contracts!$A$5:$A$204,MATCH(7,Contracts!$R$5:$R$204,0)),"")</f>
        <v/>
      </c>
      <c r="C30" s="20">
        <f>IF($B30="","",INDEX(Contracts!$B$5:$B$204,MATCH(7,Contracts!$R$5:$R$204,0)))</f>
        <v/>
      </c>
      <c r="D30" s="11">
        <f>IF($B30="","",INDEX(Contracts!$E$5:$E$204,MATCH(7,Contracts!$R$5:$R$204,0)))</f>
        <v/>
      </c>
      <c r="E30" s="12">
        <f>IF($B30="","",INDEX(Contracts!$F$5:$F$204,MATCH(7,Contracts!$R$5:$R$204,0)))</f>
        <v/>
      </c>
      <c r="F30" s="13">
        <f>IF($B30="","",INDEX(Contracts!$H$5:$H$204,MATCH(7,Contracts!$R$5:$R$204,0)))</f>
        <v/>
      </c>
      <c r="G30" s="14">
        <f>IF($B30="","",INDEX(Contracts!$C$5:$C$204,MATCH(7,Contracts!$R$5:$R$204,0)))</f>
        <v/>
      </c>
      <c r="H30" s="22">
        <f>IF($B30="","",INDEX(Contracts!$D$5:$D$204,MATCH(7,Contracts!$R$5:$R$204,0)))</f>
        <v/>
      </c>
      <c r="I30" s="20">
        <f>IF($B30="","",INDEX(Contracts!$K$5:$K$204,MATCH(7,Contracts!$R$5:$R$204,0)))</f>
        <v/>
      </c>
      <c r="J30" s="20">
        <f>IF($B30="","",INDEX(Contracts!$P$5:$P$204,MATCH(7,Contracts!$R$5:$R$204,0)))</f>
        <v/>
      </c>
    </row>
    <row r="31">
      <c r="A31" s="16">
        <f>IF($B31="","",8)</f>
        <v/>
      </c>
      <c r="B31" s="20">
        <f>IFERROR(INDEX(Contracts!$A$5:$A$204,MATCH(8,Contracts!$R$5:$R$204,0)),"")</f>
        <v/>
      </c>
      <c r="C31" s="20">
        <f>IF($B31="","",INDEX(Contracts!$B$5:$B$204,MATCH(8,Contracts!$R$5:$R$204,0)))</f>
        <v/>
      </c>
      <c r="D31" s="11">
        <f>IF($B31="","",INDEX(Contracts!$E$5:$E$204,MATCH(8,Contracts!$R$5:$R$204,0)))</f>
        <v/>
      </c>
      <c r="E31" s="12">
        <f>IF($B31="","",INDEX(Contracts!$F$5:$F$204,MATCH(8,Contracts!$R$5:$R$204,0)))</f>
        <v/>
      </c>
      <c r="F31" s="13">
        <f>IF($B31="","",INDEX(Contracts!$H$5:$H$204,MATCH(8,Contracts!$R$5:$R$204,0)))</f>
        <v/>
      </c>
      <c r="G31" s="14">
        <f>IF($B31="","",INDEX(Contracts!$C$5:$C$204,MATCH(8,Contracts!$R$5:$R$204,0)))</f>
        <v/>
      </c>
      <c r="H31" s="22">
        <f>IF($B31="","",INDEX(Contracts!$D$5:$D$204,MATCH(8,Contracts!$R$5:$R$204,0)))</f>
        <v/>
      </c>
      <c r="I31" s="20">
        <f>IF($B31="","",INDEX(Contracts!$K$5:$K$204,MATCH(8,Contracts!$R$5:$R$204,0)))</f>
        <v/>
      </c>
      <c r="J31" s="20">
        <f>IF($B31="","",INDEX(Contracts!$P$5:$P$204,MATCH(8,Contracts!$R$5:$R$204,0)))</f>
        <v/>
      </c>
    </row>
    <row r="32">
      <c r="A32" s="16">
        <f>IF($B32="","",9)</f>
        <v/>
      </c>
      <c r="B32" s="20">
        <f>IFERROR(INDEX(Contracts!$A$5:$A$204,MATCH(9,Contracts!$R$5:$R$204,0)),"")</f>
        <v/>
      </c>
      <c r="C32" s="20">
        <f>IF($B32="","",INDEX(Contracts!$B$5:$B$204,MATCH(9,Contracts!$R$5:$R$204,0)))</f>
        <v/>
      </c>
      <c r="D32" s="11">
        <f>IF($B32="","",INDEX(Contracts!$E$5:$E$204,MATCH(9,Contracts!$R$5:$R$204,0)))</f>
        <v/>
      </c>
      <c r="E32" s="12">
        <f>IF($B32="","",INDEX(Contracts!$F$5:$F$204,MATCH(9,Contracts!$R$5:$R$204,0)))</f>
        <v/>
      </c>
      <c r="F32" s="13">
        <f>IF($B32="","",INDEX(Contracts!$H$5:$H$204,MATCH(9,Contracts!$R$5:$R$204,0)))</f>
        <v/>
      </c>
      <c r="G32" s="14">
        <f>IF($B32="","",INDEX(Contracts!$C$5:$C$204,MATCH(9,Contracts!$R$5:$R$204,0)))</f>
        <v/>
      </c>
      <c r="H32" s="22">
        <f>IF($B32="","",INDEX(Contracts!$D$5:$D$204,MATCH(9,Contracts!$R$5:$R$204,0)))</f>
        <v/>
      </c>
      <c r="I32" s="20">
        <f>IF($B32="","",INDEX(Contracts!$K$5:$K$204,MATCH(9,Contracts!$R$5:$R$204,0)))</f>
        <v/>
      </c>
      <c r="J32" s="20">
        <f>IF($B32="","",INDEX(Contracts!$P$5:$P$204,MATCH(9,Contracts!$R$5:$R$204,0)))</f>
        <v/>
      </c>
    </row>
    <row r="33">
      <c r="A33" s="16">
        <f>IF($B33="","",10)</f>
        <v/>
      </c>
      <c r="B33" s="20">
        <f>IFERROR(INDEX(Contracts!$A$5:$A$204,MATCH(10,Contracts!$R$5:$R$204,0)),"")</f>
        <v/>
      </c>
      <c r="C33" s="20">
        <f>IF($B33="","",INDEX(Contracts!$B$5:$B$204,MATCH(10,Contracts!$R$5:$R$204,0)))</f>
        <v/>
      </c>
      <c r="D33" s="11">
        <f>IF($B33="","",INDEX(Contracts!$E$5:$E$204,MATCH(10,Contracts!$R$5:$R$204,0)))</f>
        <v/>
      </c>
      <c r="E33" s="12">
        <f>IF($B33="","",INDEX(Contracts!$F$5:$F$204,MATCH(10,Contracts!$R$5:$R$204,0)))</f>
        <v/>
      </c>
      <c r="F33" s="13">
        <f>IF($B33="","",INDEX(Contracts!$H$5:$H$204,MATCH(10,Contracts!$R$5:$R$204,0)))</f>
        <v/>
      </c>
      <c r="G33" s="14">
        <f>IF($B33="","",INDEX(Contracts!$C$5:$C$204,MATCH(10,Contracts!$R$5:$R$204,0)))</f>
        <v/>
      </c>
      <c r="H33" s="22">
        <f>IF($B33="","",INDEX(Contracts!$D$5:$D$204,MATCH(10,Contracts!$R$5:$R$204,0)))</f>
        <v/>
      </c>
      <c r="I33" s="20">
        <f>IF($B33="","",INDEX(Contracts!$K$5:$K$204,MATCH(10,Contracts!$R$5:$R$204,0)))</f>
        <v/>
      </c>
      <c r="J33" s="20">
        <f>IF($B33="","",INDEX(Contracts!$P$5:$P$204,MATCH(10,Contracts!$R$5:$R$204,0)))</f>
        <v/>
      </c>
    </row>
    <row r="34">
      <c r="A34" s="16">
        <f>IF($B34="","",11)</f>
        <v/>
      </c>
      <c r="B34" s="20">
        <f>IFERROR(INDEX(Contracts!$A$5:$A$204,MATCH(11,Contracts!$R$5:$R$204,0)),"")</f>
        <v/>
      </c>
      <c r="C34" s="20">
        <f>IF($B34="","",INDEX(Contracts!$B$5:$B$204,MATCH(11,Contracts!$R$5:$R$204,0)))</f>
        <v/>
      </c>
      <c r="D34" s="11">
        <f>IF($B34="","",INDEX(Contracts!$E$5:$E$204,MATCH(11,Contracts!$R$5:$R$204,0)))</f>
        <v/>
      </c>
      <c r="E34" s="12">
        <f>IF($B34="","",INDEX(Contracts!$F$5:$F$204,MATCH(11,Contracts!$R$5:$R$204,0)))</f>
        <v/>
      </c>
      <c r="F34" s="13">
        <f>IF($B34="","",INDEX(Contracts!$H$5:$H$204,MATCH(11,Contracts!$R$5:$R$204,0)))</f>
        <v/>
      </c>
      <c r="G34" s="14">
        <f>IF($B34="","",INDEX(Contracts!$C$5:$C$204,MATCH(11,Contracts!$R$5:$R$204,0)))</f>
        <v/>
      </c>
      <c r="H34" s="22">
        <f>IF($B34="","",INDEX(Contracts!$D$5:$D$204,MATCH(11,Contracts!$R$5:$R$204,0)))</f>
        <v/>
      </c>
      <c r="I34" s="20">
        <f>IF($B34="","",INDEX(Contracts!$K$5:$K$204,MATCH(11,Contracts!$R$5:$R$204,0)))</f>
        <v/>
      </c>
      <c r="J34" s="20">
        <f>IF($B34="","",INDEX(Contracts!$P$5:$P$204,MATCH(11,Contracts!$R$5:$R$204,0)))</f>
        <v/>
      </c>
    </row>
    <row r="35">
      <c r="A35" s="16">
        <f>IF($B35="","",12)</f>
        <v/>
      </c>
      <c r="B35" s="20">
        <f>IFERROR(INDEX(Contracts!$A$5:$A$204,MATCH(12,Contracts!$R$5:$R$204,0)),"")</f>
        <v/>
      </c>
      <c r="C35" s="20">
        <f>IF($B35="","",INDEX(Contracts!$B$5:$B$204,MATCH(12,Contracts!$R$5:$R$204,0)))</f>
        <v/>
      </c>
      <c r="D35" s="11">
        <f>IF($B35="","",INDEX(Contracts!$E$5:$E$204,MATCH(12,Contracts!$R$5:$R$204,0)))</f>
        <v/>
      </c>
      <c r="E35" s="12">
        <f>IF($B35="","",INDEX(Contracts!$F$5:$F$204,MATCH(12,Contracts!$R$5:$R$204,0)))</f>
        <v/>
      </c>
      <c r="F35" s="13">
        <f>IF($B35="","",INDEX(Contracts!$H$5:$H$204,MATCH(12,Contracts!$R$5:$R$204,0)))</f>
        <v/>
      </c>
      <c r="G35" s="14">
        <f>IF($B35="","",INDEX(Contracts!$C$5:$C$204,MATCH(12,Contracts!$R$5:$R$204,0)))</f>
        <v/>
      </c>
      <c r="H35" s="22">
        <f>IF($B35="","",INDEX(Contracts!$D$5:$D$204,MATCH(12,Contracts!$R$5:$R$204,0)))</f>
        <v/>
      </c>
      <c r="I35" s="20">
        <f>IF($B35="","",INDEX(Contracts!$K$5:$K$204,MATCH(12,Contracts!$R$5:$R$204,0)))</f>
        <v/>
      </c>
      <c r="J35" s="20">
        <f>IF($B35="","",INDEX(Contracts!$P$5:$P$204,MATCH(12,Contracts!$R$5:$R$204,0)))</f>
        <v/>
      </c>
    </row>
    <row r="36">
      <c r="A36" s="16">
        <f>IF($B36="","",13)</f>
        <v/>
      </c>
      <c r="B36" s="20">
        <f>IFERROR(INDEX(Contracts!$A$5:$A$204,MATCH(13,Contracts!$R$5:$R$204,0)),"")</f>
        <v/>
      </c>
      <c r="C36" s="20">
        <f>IF($B36="","",INDEX(Contracts!$B$5:$B$204,MATCH(13,Contracts!$R$5:$R$204,0)))</f>
        <v/>
      </c>
      <c r="D36" s="11">
        <f>IF($B36="","",INDEX(Contracts!$E$5:$E$204,MATCH(13,Contracts!$R$5:$R$204,0)))</f>
        <v/>
      </c>
      <c r="E36" s="12">
        <f>IF($B36="","",INDEX(Contracts!$F$5:$F$204,MATCH(13,Contracts!$R$5:$R$204,0)))</f>
        <v/>
      </c>
      <c r="F36" s="13">
        <f>IF($B36="","",INDEX(Contracts!$H$5:$H$204,MATCH(13,Contracts!$R$5:$R$204,0)))</f>
        <v/>
      </c>
      <c r="G36" s="14">
        <f>IF($B36="","",INDEX(Contracts!$C$5:$C$204,MATCH(13,Contracts!$R$5:$R$204,0)))</f>
        <v/>
      </c>
      <c r="H36" s="22">
        <f>IF($B36="","",INDEX(Contracts!$D$5:$D$204,MATCH(13,Contracts!$R$5:$R$204,0)))</f>
        <v/>
      </c>
      <c r="I36" s="20">
        <f>IF($B36="","",INDEX(Contracts!$K$5:$K$204,MATCH(13,Contracts!$R$5:$R$204,0)))</f>
        <v/>
      </c>
      <c r="J36" s="20">
        <f>IF($B36="","",INDEX(Contracts!$P$5:$P$204,MATCH(13,Contracts!$R$5:$R$204,0)))</f>
        <v/>
      </c>
    </row>
    <row r="37">
      <c r="A37" s="16">
        <f>IF($B37="","",14)</f>
        <v/>
      </c>
      <c r="B37" s="20">
        <f>IFERROR(INDEX(Contracts!$A$5:$A$204,MATCH(14,Contracts!$R$5:$R$204,0)),"")</f>
        <v/>
      </c>
      <c r="C37" s="20">
        <f>IF($B37="","",INDEX(Contracts!$B$5:$B$204,MATCH(14,Contracts!$R$5:$R$204,0)))</f>
        <v/>
      </c>
      <c r="D37" s="11">
        <f>IF($B37="","",INDEX(Contracts!$E$5:$E$204,MATCH(14,Contracts!$R$5:$R$204,0)))</f>
        <v/>
      </c>
      <c r="E37" s="12">
        <f>IF($B37="","",INDEX(Contracts!$F$5:$F$204,MATCH(14,Contracts!$R$5:$R$204,0)))</f>
        <v/>
      </c>
      <c r="F37" s="13">
        <f>IF($B37="","",INDEX(Contracts!$H$5:$H$204,MATCH(14,Contracts!$R$5:$R$204,0)))</f>
        <v/>
      </c>
      <c r="G37" s="14">
        <f>IF($B37="","",INDEX(Contracts!$C$5:$C$204,MATCH(14,Contracts!$R$5:$R$204,0)))</f>
        <v/>
      </c>
      <c r="H37" s="22">
        <f>IF($B37="","",INDEX(Contracts!$D$5:$D$204,MATCH(14,Contracts!$R$5:$R$204,0)))</f>
        <v/>
      </c>
      <c r="I37" s="20">
        <f>IF($B37="","",INDEX(Contracts!$K$5:$K$204,MATCH(14,Contracts!$R$5:$R$204,0)))</f>
        <v/>
      </c>
      <c r="J37" s="20">
        <f>IF($B37="","",INDEX(Contracts!$P$5:$P$204,MATCH(14,Contracts!$R$5:$R$204,0)))</f>
        <v/>
      </c>
    </row>
    <row r="38">
      <c r="A38" s="16">
        <f>IF($B38="","",15)</f>
        <v/>
      </c>
      <c r="B38" s="20">
        <f>IFERROR(INDEX(Contracts!$A$5:$A$204,MATCH(15,Contracts!$R$5:$R$204,0)),"")</f>
        <v/>
      </c>
      <c r="C38" s="20">
        <f>IF($B38="","",INDEX(Contracts!$B$5:$B$204,MATCH(15,Contracts!$R$5:$R$204,0)))</f>
        <v/>
      </c>
      <c r="D38" s="11">
        <f>IF($B38="","",INDEX(Contracts!$E$5:$E$204,MATCH(15,Contracts!$R$5:$R$204,0)))</f>
        <v/>
      </c>
      <c r="E38" s="12">
        <f>IF($B38="","",INDEX(Contracts!$F$5:$F$204,MATCH(15,Contracts!$R$5:$R$204,0)))</f>
        <v/>
      </c>
      <c r="F38" s="13">
        <f>IF($B38="","",INDEX(Contracts!$H$5:$H$204,MATCH(15,Contracts!$R$5:$R$204,0)))</f>
        <v/>
      </c>
      <c r="G38" s="14">
        <f>IF($B38="","",INDEX(Contracts!$C$5:$C$204,MATCH(15,Contracts!$R$5:$R$204,0)))</f>
        <v/>
      </c>
      <c r="H38" s="22">
        <f>IF($B38="","",INDEX(Contracts!$D$5:$D$204,MATCH(15,Contracts!$R$5:$R$204,0)))</f>
        <v/>
      </c>
      <c r="I38" s="20">
        <f>IF($B38="","",INDEX(Contracts!$K$5:$K$204,MATCH(15,Contracts!$R$5:$R$204,0)))</f>
        <v/>
      </c>
      <c r="J38" s="20">
        <f>IF($B38="","",INDEX(Contracts!$P$5:$P$204,MATCH(15,Contracts!$R$5:$R$204,0)))</f>
        <v/>
      </c>
    </row>
    <row r="39">
      <c r="A39" s="16">
        <f>IF($B39="","",16)</f>
        <v/>
      </c>
      <c r="B39" s="20">
        <f>IFERROR(INDEX(Contracts!$A$5:$A$204,MATCH(16,Contracts!$R$5:$R$204,0)),"")</f>
        <v/>
      </c>
      <c r="C39" s="20">
        <f>IF($B39="","",INDEX(Contracts!$B$5:$B$204,MATCH(16,Contracts!$R$5:$R$204,0)))</f>
        <v/>
      </c>
      <c r="D39" s="11">
        <f>IF($B39="","",INDEX(Contracts!$E$5:$E$204,MATCH(16,Contracts!$R$5:$R$204,0)))</f>
        <v/>
      </c>
      <c r="E39" s="12">
        <f>IF($B39="","",INDEX(Contracts!$F$5:$F$204,MATCH(16,Contracts!$R$5:$R$204,0)))</f>
        <v/>
      </c>
      <c r="F39" s="13">
        <f>IF($B39="","",INDEX(Contracts!$H$5:$H$204,MATCH(16,Contracts!$R$5:$R$204,0)))</f>
        <v/>
      </c>
      <c r="G39" s="14">
        <f>IF($B39="","",INDEX(Contracts!$C$5:$C$204,MATCH(16,Contracts!$R$5:$R$204,0)))</f>
        <v/>
      </c>
      <c r="H39" s="22">
        <f>IF($B39="","",INDEX(Contracts!$D$5:$D$204,MATCH(16,Contracts!$R$5:$R$204,0)))</f>
        <v/>
      </c>
      <c r="I39" s="20">
        <f>IF($B39="","",INDEX(Contracts!$K$5:$K$204,MATCH(16,Contracts!$R$5:$R$204,0)))</f>
        <v/>
      </c>
      <c r="J39" s="20">
        <f>IF($B39="","",INDEX(Contracts!$P$5:$P$204,MATCH(16,Contracts!$R$5:$R$204,0)))</f>
        <v/>
      </c>
    </row>
    <row r="40">
      <c r="A40" s="16">
        <f>IF($B40="","",17)</f>
        <v/>
      </c>
      <c r="B40" s="20">
        <f>IFERROR(INDEX(Contracts!$A$5:$A$204,MATCH(17,Contracts!$R$5:$R$204,0)),"")</f>
        <v/>
      </c>
      <c r="C40" s="20">
        <f>IF($B40="","",INDEX(Contracts!$B$5:$B$204,MATCH(17,Contracts!$R$5:$R$204,0)))</f>
        <v/>
      </c>
      <c r="D40" s="11">
        <f>IF($B40="","",INDEX(Contracts!$E$5:$E$204,MATCH(17,Contracts!$R$5:$R$204,0)))</f>
        <v/>
      </c>
      <c r="E40" s="12">
        <f>IF($B40="","",INDEX(Contracts!$F$5:$F$204,MATCH(17,Contracts!$R$5:$R$204,0)))</f>
        <v/>
      </c>
      <c r="F40" s="13">
        <f>IF($B40="","",INDEX(Contracts!$H$5:$H$204,MATCH(17,Contracts!$R$5:$R$204,0)))</f>
        <v/>
      </c>
      <c r="G40" s="14">
        <f>IF($B40="","",INDEX(Contracts!$C$5:$C$204,MATCH(17,Contracts!$R$5:$R$204,0)))</f>
        <v/>
      </c>
      <c r="H40" s="22">
        <f>IF($B40="","",INDEX(Contracts!$D$5:$D$204,MATCH(17,Contracts!$R$5:$R$204,0)))</f>
        <v/>
      </c>
      <c r="I40" s="20">
        <f>IF($B40="","",INDEX(Contracts!$K$5:$K$204,MATCH(17,Contracts!$R$5:$R$204,0)))</f>
        <v/>
      </c>
      <c r="J40" s="20">
        <f>IF($B40="","",INDEX(Contracts!$P$5:$P$204,MATCH(17,Contracts!$R$5:$R$204,0)))</f>
        <v/>
      </c>
    </row>
    <row r="41">
      <c r="A41" s="16">
        <f>IF($B41="","",18)</f>
        <v/>
      </c>
      <c r="B41" s="20">
        <f>IFERROR(INDEX(Contracts!$A$5:$A$204,MATCH(18,Contracts!$R$5:$R$204,0)),"")</f>
        <v/>
      </c>
      <c r="C41" s="20">
        <f>IF($B41="","",INDEX(Contracts!$B$5:$B$204,MATCH(18,Contracts!$R$5:$R$204,0)))</f>
        <v/>
      </c>
      <c r="D41" s="11">
        <f>IF($B41="","",INDEX(Contracts!$E$5:$E$204,MATCH(18,Contracts!$R$5:$R$204,0)))</f>
        <v/>
      </c>
      <c r="E41" s="12">
        <f>IF($B41="","",INDEX(Contracts!$F$5:$F$204,MATCH(18,Contracts!$R$5:$R$204,0)))</f>
        <v/>
      </c>
      <c r="F41" s="13">
        <f>IF($B41="","",INDEX(Contracts!$H$5:$H$204,MATCH(18,Contracts!$R$5:$R$204,0)))</f>
        <v/>
      </c>
      <c r="G41" s="14">
        <f>IF($B41="","",INDEX(Contracts!$C$5:$C$204,MATCH(18,Contracts!$R$5:$R$204,0)))</f>
        <v/>
      </c>
      <c r="H41" s="22">
        <f>IF($B41="","",INDEX(Contracts!$D$5:$D$204,MATCH(18,Contracts!$R$5:$R$204,0)))</f>
        <v/>
      </c>
      <c r="I41" s="20">
        <f>IF($B41="","",INDEX(Contracts!$K$5:$K$204,MATCH(18,Contracts!$R$5:$R$204,0)))</f>
        <v/>
      </c>
      <c r="J41" s="20">
        <f>IF($B41="","",INDEX(Contracts!$P$5:$P$204,MATCH(18,Contracts!$R$5:$R$204,0)))</f>
        <v/>
      </c>
    </row>
    <row r="42">
      <c r="A42" s="16">
        <f>IF($B42="","",19)</f>
        <v/>
      </c>
      <c r="B42" s="20">
        <f>IFERROR(INDEX(Contracts!$A$5:$A$204,MATCH(19,Contracts!$R$5:$R$204,0)),"")</f>
        <v/>
      </c>
      <c r="C42" s="20">
        <f>IF($B42="","",INDEX(Contracts!$B$5:$B$204,MATCH(19,Contracts!$R$5:$R$204,0)))</f>
        <v/>
      </c>
      <c r="D42" s="11">
        <f>IF($B42="","",INDEX(Contracts!$E$5:$E$204,MATCH(19,Contracts!$R$5:$R$204,0)))</f>
        <v/>
      </c>
      <c r="E42" s="12">
        <f>IF($B42="","",INDEX(Contracts!$F$5:$F$204,MATCH(19,Contracts!$R$5:$R$204,0)))</f>
        <v/>
      </c>
      <c r="F42" s="13">
        <f>IF($B42="","",INDEX(Contracts!$H$5:$H$204,MATCH(19,Contracts!$R$5:$R$204,0)))</f>
        <v/>
      </c>
      <c r="G42" s="14">
        <f>IF($B42="","",INDEX(Contracts!$C$5:$C$204,MATCH(19,Contracts!$R$5:$R$204,0)))</f>
        <v/>
      </c>
      <c r="H42" s="22">
        <f>IF($B42="","",INDEX(Contracts!$D$5:$D$204,MATCH(19,Contracts!$R$5:$R$204,0)))</f>
        <v/>
      </c>
      <c r="I42" s="20">
        <f>IF($B42="","",INDEX(Contracts!$K$5:$K$204,MATCH(19,Contracts!$R$5:$R$204,0)))</f>
        <v/>
      </c>
      <c r="J42" s="20">
        <f>IF($B42="","",INDEX(Contracts!$P$5:$P$204,MATCH(19,Contracts!$R$5:$R$204,0)))</f>
        <v/>
      </c>
    </row>
    <row r="43">
      <c r="A43" s="16">
        <f>IF($B43="","",20)</f>
        <v/>
      </c>
      <c r="B43" s="20">
        <f>IFERROR(INDEX(Contracts!$A$5:$A$204,MATCH(20,Contracts!$R$5:$R$204,0)),"")</f>
        <v/>
      </c>
      <c r="C43" s="20">
        <f>IF($B43="","",INDEX(Contracts!$B$5:$B$204,MATCH(20,Contracts!$R$5:$R$204,0)))</f>
        <v/>
      </c>
      <c r="D43" s="11">
        <f>IF($B43="","",INDEX(Contracts!$E$5:$E$204,MATCH(20,Contracts!$R$5:$R$204,0)))</f>
        <v/>
      </c>
      <c r="E43" s="12">
        <f>IF($B43="","",INDEX(Contracts!$F$5:$F$204,MATCH(20,Contracts!$R$5:$R$204,0)))</f>
        <v/>
      </c>
      <c r="F43" s="13">
        <f>IF($B43="","",INDEX(Contracts!$H$5:$H$204,MATCH(20,Contracts!$R$5:$R$204,0)))</f>
        <v/>
      </c>
      <c r="G43" s="14">
        <f>IF($B43="","",INDEX(Contracts!$C$5:$C$204,MATCH(20,Contracts!$R$5:$R$204,0)))</f>
        <v/>
      </c>
      <c r="H43" s="22">
        <f>IF($B43="","",INDEX(Contracts!$D$5:$D$204,MATCH(20,Contracts!$R$5:$R$204,0)))</f>
        <v/>
      </c>
      <c r="I43" s="20">
        <f>IF($B43="","",INDEX(Contracts!$K$5:$K$204,MATCH(20,Contracts!$R$5:$R$204,0)))</f>
        <v/>
      </c>
      <c r="J43" s="20">
        <f>IF($B43="","",INDEX(Contracts!$P$5:$P$204,MATCH(20,Contracts!$R$5:$R$204,0)))</f>
        <v/>
      </c>
    </row>
    <row r="44">
      <c r="A44" s="16">
        <f>IF($B44="","",21)</f>
        <v/>
      </c>
      <c r="B44" s="20">
        <f>IFERROR(INDEX(Contracts!$A$5:$A$204,MATCH(21,Contracts!$R$5:$R$204,0)),"")</f>
        <v/>
      </c>
      <c r="C44" s="20">
        <f>IF($B44="","",INDEX(Contracts!$B$5:$B$204,MATCH(21,Contracts!$R$5:$R$204,0)))</f>
        <v/>
      </c>
      <c r="D44" s="11">
        <f>IF($B44="","",INDEX(Contracts!$E$5:$E$204,MATCH(21,Contracts!$R$5:$R$204,0)))</f>
        <v/>
      </c>
      <c r="E44" s="12">
        <f>IF($B44="","",INDEX(Contracts!$F$5:$F$204,MATCH(21,Contracts!$R$5:$R$204,0)))</f>
        <v/>
      </c>
      <c r="F44" s="13">
        <f>IF($B44="","",INDEX(Contracts!$H$5:$H$204,MATCH(21,Contracts!$R$5:$R$204,0)))</f>
        <v/>
      </c>
      <c r="G44" s="14">
        <f>IF($B44="","",INDEX(Contracts!$C$5:$C$204,MATCH(21,Contracts!$R$5:$R$204,0)))</f>
        <v/>
      </c>
      <c r="H44" s="22">
        <f>IF($B44="","",INDEX(Contracts!$D$5:$D$204,MATCH(21,Contracts!$R$5:$R$204,0)))</f>
        <v/>
      </c>
      <c r="I44" s="20">
        <f>IF($B44="","",INDEX(Contracts!$K$5:$K$204,MATCH(21,Contracts!$R$5:$R$204,0)))</f>
        <v/>
      </c>
      <c r="J44" s="20">
        <f>IF($B44="","",INDEX(Contracts!$P$5:$P$204,MATCH(21,Contracts!$R$5:$R$204,0)))</f>
        <v/>
      </c>
    </row>
    <row r="45">
      <c r="A45" s="16">
        <f>IF($B45="","",22)</f>
        <v/>
      </c>
      <c r="B45" s="20">
        <f>IFERROR(INDEX(Contracts!$A$5:$A$204,MATCH(22,Contracts!$R$5:$R$204,0)),"")</f>
        <v/>
      </c>
      <c r="C45" s="20">
        <f>IF($B45="","",INDEX(Contracts!$B$5:$B$204,MATCH(22,Contracts!$R$5:$R$204,0)))</f>
        <v/>
      </c>
      <c r="D45" s="11">
        <f>IF($B45="","",INDEX(Contracts!$E$5:$E$204,MATCH(22,Contracts!$R$5:$R$204,0)))</f>
        <v/>
      </c>
      <c r="E45" s="12">
        <f>IF($B45="","",INDEX(Contracts!$F$5:$F$204,MATCH(22,Contracts!$R$5:$R$204,0)))</f>
        <v/>
      </c>
      <c r="F45" s="13">
        <f>IF($B45="","",INDEX(Contracts!$H$5:$H$204,MATCH(22,Contracts!$R$5:$R$204,0)))</f>
        <v/>
      </c>
      <c r="G45" s="14">
        <f>IF($B45="","",INDEX(Contracts!$C$5:$C$204,MATCH(22,Contracts!$R$5:$R$204,0)))</f>
        <v/>
      </c>
      <c r="H45" s="22">
        <f>IF($B45="","",INDEX(Contracts!$D$5:$D$204,MATCH(22,Contracts!$R$5:$R$204,0)))</f>
        <v/>
      </c>
      <c r="I45" s="20">
        <f>IF($B45="","",INDEX(Contracts!$K$5:$K$204,MATCH(22,Contracts!$R$5:$R$204,0)))</f>
        <v/>
      </c>
      <c r="J45" s="20">
        <f>IF($B45="","",INDEX(Contracts!$P$5:$P$204,MATCH(22,Contracts!$R$5:$R$204,0)))</f>
        <v/>
      </c>
    </row>
    <row r="46">
      <c r="A46" s="16">
        <f>IF($B46="","",23)</f>
        <v/>
      </c>
      <c r="B46" s="20">
        <f>IFERROR(INDEX(Contracts!$A$5:$A$204,MATCH(23,Contracts!$R$5:$R$204,0)),"")</f>
        <v/>
      </c>
      <c r="C46" s="20">
        <f>IF($B46="","",INDEX(Contracts!$B$5:$B$204,MATCH(23,Contracts!$R$5:$R$204,0)))</f>
        <v/>
      </c>
      <c r="D46" s="11">
        <f>IF($B46="","",INDEX(Contracts!$E$5:$E$204,MATCH(23,Contracts!$R$5:$R$204,0)))</f>
        <v/>
      </c>
      <c r="E46" s="12">
        <f>IF($B46="","",INDEX(Contracts!$F$5:$F$204,MATCH(23,Contracts!$R$5:$R$204,0)))</f>
        <v/>
      </c>
      <c r="F46" s="13">
        <f>IF($B46="","",INDEX(Contracts!$H$5:$H$204,MATCH(23,Contracts!$R$5:$R$204,0)))</f>
        <v/>
      </c>
      <c r="G46" s="14">
        <f>IF($B46="","",INDEX(Contracts!$C$5:$C$204,MATCH(23,Contracts!$R$5:$R$204,0)))</f>
        <v/>
      </c>
      <c r="H46" s="22">
        <f>IF($B46="","",INDEX(Contracts!$D$5:$D$204,MATCH(23,Contracts!$R$5:$R$204,0)))</f>
        <v/>
      </c>
      <c r="I46" s="20">
        <f>IF($B46="","",INDEX(Contracts!$K$5:$K$204,MATCH(23,Contracts!$R$5:$R$204,0)))</f>
        <v/>
      </c>
      <c r="J46" s="20">
        <f>IF($B46="","",INDEX(Contracts!$P$5:$P$204,MATCH(23,Contracts!$R$5:$R$204,0)))</f>
        <v/>
      </c>
    </row>
    <row r="47">
      <c r="A47" s="16">
        <f>IF($B47="","",24)</f>
        <v/>
      </c>
      <c r="B47" s="20">
        <f>IFERROR(INDEX(Contracts!$A$5:$A$204,MATCH(24,Contracts!$R$5:$R$204,0)),"")</f>
        <v/>
      </c>
      <c r="C47" s="20">
        <f>IF($B47="","",INDEX(Contracts!$B$5:$B$204,MATCH(24,Contracts!$R$5:$R$204,0)))</f>
        <v/>
      </c>
      <c r="D47" s="11">
        <f>IF($B47="","",INDEX(Contracts!$E$5:$E$204,MATCH(24,Contracts!$R$5:$R$204,0)))</f>
        <v/>
      </c>
      <c r="E47" s="12">
        <f>IF($B47="","",INDEX(Contracts!$F$5:$F$204,MATCH(24,Contracts!$R$5:$R$204,0)))</f>
        <v/>
      </c>
      <c r="F47" s="13">
        <f>IF($B47="","",INDEX(Contracts!$H$5:$H$204,MATCH(24,Contracts!$R$5:$R$204,0)))</f>
        <v/>
      </c>
      <c r="G47" s="14">
        <f>IF($B47="","",INDEX(Contracts!$C$5:$C$204,MATCH(24,Contracts!$R$5:$R$204,0)))</f>
        <v/>
      </c>
      <c r="H47" s="22">
        <f>IF($B47="","",INDEX(Contracts!$D$5:$D$204,MATCH(24,Contracts!$R$5:$R$204,0)))</f>
        <v/>
      </c>
      <c r="I47" s="20">
        <f>IF($B47="","",INDEX(Contracts!$K$5:$K$204,MATCH(24,Contracts!$R$5:$R$204,0)))</f>
        <v/>
      </c>
      <c r="J47" s="20">
        <f>IF($B47="","",INDEX(Contracts!$P$5:$P$204,MATCH(24,Contracts!$R$5:$R$204,0)))</f>
        <v/>
      </c>
    </row>
    <row r="48">
      <c r="A48" s="16">
        <f>IF($B48="","",25)</f>
        <v/>
      </c>
      <c r="B48" s="20">
        <f>IFERROR(INDEX(Contracts!$A$5:$A$204,MATCH(25,Contracts!$R$5:$R$204,0)),"")</f>
        <v/>
      </c>
      <c r="C48" s="20">
        <f>IF($B48="","",INDEX(Contracts!$B$5:$B$204,MATCH(25,Contracts!$R$5:$R$204,0)))</f>
        <v/>
      </c>
      <c r="D48" s="11">
        <f>IF($B48="","",INDEX(Contracts!$E$5:$E$204,MATCH(25,Contracts!$R$5:$R$204,0)))</f>
        <v/>
      </c>
      <c r="E48" s="12">
        <f>IF($B48="","",INDEX(Contracts!$F$5:$F$204,MATCH(25,Contracts!$R$5:$R$204,0)))</f>
        <v/>
      </c>
      <c r="F48" s="13">
        <f>IF($B48="","",INDEX(Contracts!$H$5:$H$204,MATCH(25,Contracts!$R$5:$R$204,0)))</f>
        <v/>
      </c>
      <c r="G48" s="14">
        <f>IF($B48="","",INDEX(Contracts!$C$5:$C$204,MATCH(25,Contracts!$R$5:$R$204,0)))</f>
        <v/>
      </c>
      <c r="H48" s="22">
        <f>IF($B48="","",INDEX(Contracts!$D$5:$D$204,MATCH(25,Contracts!$R$5:$R$204,0)))</f>
        <v/>
      </c>
      <c r="I48" s="20">
        <f>IF($B48="","",INDEX(Contracts!$K$5:$K$204,MATCH(25,Contracts!$R$5:$R$204,0)))</f>
        <v/>
      </c>
      <c r="J48" s="20">
        <f>IF($B48="","",INDEX(Contracts!$P$5:$P$204,MATCH(25,Contracts!$R$5:$R$204,0)))</f>
        <v/>
      </c>
    </row>
    <row r="49">
      <c r="A49" s="16">
        <f>IF($B49="","",26)</f>
        <v/>
      </c>
      <c r="B49" s="20">
        <f>IFERROR(INDEX(Contracts!$A$5:$A$204,MATCH(26,Contracts!$R$5:$R$204,0)),"")</f>
        <v/>
      </c>
      <c r="C49" s="20">
        <f>IF($B49="","",INDEX(Contracts!$B$5:$B$204,MATCH(26,Contracts!$R$5:$R$204,0)))</f>
        <v/>
      </c>
      <c r="D49" s="11">
        <f>IF($B49="","",INDEX(Contracts!$E$5:$E$204,MATCH(26,Contracts!$R$5:$R$204,0)))</f>
        <v/>
      </c>
      <c r="E49" s="12">
        <f>IF($B49="","",INDEX(Contracts!$F$5:$F$204,MATCH(26,Contracts!$R$5:$R$204,0)))</f>
        <v/>
      </c>
      <c r="F49" s="13">
        <f>IF($B49="","",INDEX(Contracts!$H$5:$H$204,MATCH(26,Contracts!$R$5:$R$204,0)))</f>
        <v/>
      </c>
      <c r="G49" s="14">
        <f>IF($B49="","",INDEX(Contracts!$C$5:$C$204,MATCH(26,Contracts!$R$5:$R$204,0)))</f>
        <v/>
      </c>
      <c r="H49" s="22">
        <f>IF($B49="","",INDEX(Contracts!$D$5:$D$204,MATCH(26,Contracts!$R$5:$R$204,0)))</f>
        <v/>
      </c>
      <c r="I49" s="20">
        <f>IF($B49="","",INDEX(Contracts!$K$5:$K$204,MATCH(26,Contracts!$R$5:$R$204,0)))</f>
        <v/>
      </c>
      <c r="J49" s="20">
        <f>IF($B49="","",INDEX(Contracts!$P$5:$P$204,MATCH(26,Contracts!$R$5:$R$204,0)))</f>
        <v/>
      </c>
    </row>
    <row r="50">
      <c r="A50" s="16">
        <f>IF($B50="","",27)</f>
        <v/>
      </c>
      <c r="B50" s="20">
        <f>IFERROR(INDEX(Contracts!$A$5:$A$204,MATCH(27,Contracts!$R$5:$R$204,0)),"")</f>
        <v/>
      </c>
      <c r="C50" s="20">
        <f>IF($B50="","",INDEX(Contracts!$B$5:$B$204,MATCH(27,Contracts!$R$5:$R$204,0)))</f>
        <v/>
      </c>
      <c r="D50" s="11">
        <f>IF($B50="","",INDEX(Contracts!$E$5:$E$204,MATCH(27,Contracts!$R$5:$R$204,0)))</f>
        <v/>
      </c>
      <c r="E50" s="12">
        <f>IF($B50="","",INDEX(Contracts!$F$5:$F$204,MATCH(27,Contracts!$R$5:$R$204,0)))</f>
        <v/>
      </c>
      <c r="F50" s="13">
        <f>IF($B50="","",INDEX(Contracts!$H$5:$H$204,MATCH(27,Contracts!$R$5:$R$204,0)))</f>
        <v/>
      </c>
      <c r="G50" s="14">
        <f>IF($B50="","",INDEX(Contracts!$C$5:$C$204,MATCH(27,Contracts!$R$5:$R$204,0)))</f>
        <v/>
      </c>
      <c r="H50" s="22">
        <f>IF($B50="","",INDEX(Contracts!$D$5:$D$204,MATCH(27,Contracts!$R$5:$R$204,0)))</f>
        <v/>
      </c>
      <c r="I50" s="20">
        <f>IF($B50="","",INDEX(Contracts!$K$5:$K$204,MATCH(27,Contracts!$R$5:$R$204,0)))</f>
        <v/>
      </c>
      <c r="J50" s="20">
        <f>IF($B50="","",INDEX(Contracts!$P$5:$P$204,MATCH(27,Contracts!$R$5:$R$204,0)))</f>
        <v/>
      </c>
    </row>
    <row r="51">
      <c r="A51" s="16">
        <f>IF($B51="","",28)</f>
        <v/>
      </c>
      <c r="B51" s="20">
        <f>IFERROR(INDEX(Contracts!$A$5:$A$204,MATCH(28,Contracts!$R$5:$R$204,0)),"")</f>
        <v/>
      </c>
      <c r="C51" s="20">
        <f>IF($B51="","",INDEX(Contracts!$B$5:$B$204,MATCH(28,Contracts!$R$5:$R$204,0)))</f>
        <v/>
      </c>
      <c r="D51" s="11">
        <f>IF($B51="","",INDEX(Contracts!$E$5:$E$204,MATCH(28,Contracts!$R$5:$R$204,0)))</f>
        <v/>
      </c>
      <c r="E51" s="12">
        <f>IF($B51="","",INDEX(Contracts!$F$5:$F$204,MATCH(28,Contracts!$R$5:$R$204,0)))</f>
        <v/>
      </c>
      <c r="F51" s="13">
        <f>IF($B51="","",INDEX(Contracts!$H$5:$H$204,MATCH(28,Contracts!$R$5:$R$204,0)))</f>
        <v/>
      </c>
      <c r="G51" s="14">
        <f>IF($B51="","",INDEX(Contracts!$C$5:$C$204,MATCH(28,Contracts!$R$5:$R$204,0)))</f>
        <v/>
      </c>
      <c r="H51" s="22">
        <f>IF($B51="","",INDEX(Contracts!$D$5:$D$204,MATCH(28,Contracts!$R$5:$R$204,0)))</f>
        <v/>
      </c>
      <c r="I51" s="20">
        <f>IF($B51="","",INDEX(Contracts!$K$5:$K$204,MATCH(28,Contracts!$R$5:$R$204,0)))</f>
        <v/>
      </c>
      <c r="J51" s="20">
        <f>IF($B51="","",INDEX(Contracts!$P$5:$P$204,MATCH(28,Contracts!$R$5:$R$204,0)))</f>
        <v/>
      </c>
    </row>
    <row r="52">
      <c r="A52" s="16">
        <f>IF($B52="","",29)</f>
        <v/>
      </c>
      <c r="B52" s="20">
        <f>IFERROR(INDEX(Contracts!$A$5:$A$204,MATCH(29,Contracts!$R$5:$R$204,0)),"")</f>
        <v/>
      </c>
      <c r="C52" s="20">
        <f>IF($B52="","",INDEX(Contracts!$B$5:$B$204,MATCH(29,Contracts!$R$5:$R$204,0)))</f>
        <v/>
      </c>
      <c r="D52" s="11">
        <f>IF($B52="","",INDEX(Contracts!$E$5:$E$204,MATCH(29,Contracts!$R$5:$R$204,0)))</f>
        <v/>
      </c>
      <c r="E52" s="12">
        <f>IF($B52="","",INDEX(Contracts!$F$5:$F$204,MATCH(29,Contracts!$R$5:$R$204,0)))</f>
        <v/>
      </c>
      <c r="F52" s="13">
        <f>IF($B52="","",INDEX(Contracts!$H$5:$H$204,MATCH(29,Contracts!$R$5:$R$204,0)))</f>
        <v/>
      </c>
      <c r="G52" s="14">
        <f>IF($B52="","",INDEX(Contracts!$C$5:$C$204,MATCH(29,Contracts!$R$5:$R$204,0)))</f>
        <v/>
      </c>
      <c r="H52" s="22">
        <f>IF($B52="","",INDEX(Contracts!$D$5:$D$204,MATCH(29,Contracts!$R$5:$R$204,0)))</f>
        <v/>
      </c>
      <c r="I52" s="20">
        <f>IF($B52="","",INDEX(Contracts!$K$5:$K$204,MATCH(29,Contracts!$R$5:$R$204,0)))</f>
        <v/>
      </c>
      <c r="J52" s="20">
        <f>IF($B52="","",INDEX(Contracts!$P$5:$P$204,MATCH(29,Contracts!$R$5:$R$204,0)))</f>
        <v/>
      </c>
    </row>
    <row r="53">
      <c r="A53" s="16">
        <f>IF($B53="","",30)</f>
        <v/>
      </c>
      <c r="B53" s="20">
        <f>IFERROR(INDEX(Contracts!$A$5:$A$204,MATCH(30,Contracts!$R$5:$R$204,0)),"")</f>
        <v/>
      </c>
      <c r="C53" s="20">
        <f>IF($B53="","",INDEX(Contracts!$B$5:$B$204,MATCH(30,Contracts!$R$5:$R$204,0)))</f>
        <v/>
      </c>
      <c r="D53" s="11">
        <f>IF($B53="","",INDEX(Contracts!$E$5:$E$204,MATCH(30,Contracts!$R$5:$R$204,0)))</f>
        <v/>
      </c>
      <c r="E53" s="12">
        <f>IF($B53="","",INDEX(Contracts!$F$5:$F$204,MATCH(30,Contracts!$R$5:$R$204,0)))</f>
        <v/>
      </c>
      <c r="F53" s="13">
        <f>IF($B53="","",INDEX(Contracts!$H$5:$H$204,MATCH(30,Contracts!$R$5:$R$204,0)))</f>
        <v/>
      </c>
      <c r="G53" s="14">
        <f>IF($B53="","",INDEX(Contracts!$C$5:$C$204,MATCH(30,Contracts!$R$5:$R$204,0)))</f>
        <v/>
      </c>
      <c r="H53" s="22">
        <f>IF($B53="","",INDEX(Contracts!$D$5:$D$204,MATCH(30,Contracts!$R$5:$R$204,0)))</f>
        <v/>
      </c>
      <c r="I53" s="20">
        <f>IF($B53="","",INDEX(Contracts!$K$5:$K$204,MATCH(30,Contracts!$R$5:$R$204,0)))</f>
        <v/>
      </c>
      <c r="J53" s="20">
        <f>IF($B53="","",INDEX(Contracts!$P$5:$P$204,MATCH(30,Contracts!$R$5:$R$204,0)))</f>
        <v/>
      </c>
    </row>
    <row r="54">
      <c r="A54" s="16">
        <f>IF($B54="","",31)</f>
        <v/>
      </c>
      <c r="B54" s="20">
        <f>IFERROR(INDEX(Contracts!$A$5:$A$204,MATCH(31,Contracts!$R$5:$R$204,0)),"")</f>
        <v/>
      </c>
      <c r="C54" s="20">
        <f>IF($B54="","",INDEX(Contracts!$B$5:$B$204,MATCH(31,Contracts!$R$5:$R$204,0)))</f>
        <v/>
      </c>
      <c r="D54" s="11">
        <f>IF($B54="","",INDEX(Contracts!$E$5:$E$204,MATCH(31,Contracts!$R$5:$R$204,0)))</f>
        <v/>
      </c>
      <c r="E54" s="12">
        <f>IF($B54="","",INDEX(Contracts!$F$5:$F$204,MATCH(31,Contracts!$R$5:$R$204,0)))</f>
        <v/>
      </c>
      <c r="F54" s="13">
        <f>IF($B54="","",INDEX(Contracts!$H$5:$H$204,MATCH(31,Contracts!$R$5:$R$204,0)))</f>
        <v/>
      </c>
      <c r="G54" s="14">
        <f>IF($B54="","",INDEX(Contracts!$C$5:$C$204,MATCH(31,Contracts!$R$5:$R$204,0)))</f>
        <v/>
      </c>
      <c r="H54" s="22">
        <f>IF($B54="","",INDEX(Contracts!$D$5:$D$204,MATCH(31,Contracts!$R$5:$R$204,0)))</f>
        <v/>
      </c>
      <c r="I54" s="20">
        <f>IF($B54="","",INDEX(Contracts!$K$5:$K$204,MATCH(31,Contracts!$R$5:$R$204,0)))</f>
        <v/>
      </c>
      <c r="J54" s="20">
        <f>IF($B54="","",INDEX(Contracts!$P$5:$P$204,MATCH(31,Contracts!$R$5:$R$204,0)))</f>
        <v/>
      </c>
    </row>
    <row r="55">
      <c r="A55" s="16">
        <f>IF($B55="","",32)</f>
        <v/>
      </c>
      <c r="B55" s="20">
        <f>IFERROR(INDEX(Contracts!$A$5:$A$204,MATCH(32,Contracts!$R$5:$R$204,0)),"")</f>
        <v/>
      </c>
      <c r="C55" s="20">
        <f>IF($B55="","",INDEX(Contracts!$B$5:$B$204,MATCH(32,Contracts!$R$5:$R$204,0)))</f>
        <v/>
      </c>
      <c r="D55" s="11">
        <f>IF($B55="","",INDEX(Contracts!$E$5:$E$204,MATCH(32,Contracts!$R$5:$R$204,0)))</f>
        <v/>
      </c>
      <c r="E55" s="12">
        <f>IF($B55="","",INDEX(Contracts!$F$5:$F$204,MATCH(32,Contracts!$R$5:$R$204,0)))</f>
        <v/>
      </c>
      <c r="F55" s="13">
        <f>IF($B55="","",INDEX(Contracts!$H$5:$H$204,MATCH(32,Contracts!$R$5:$R$204,0)))</f>
        <v/>
      </c>
      <c r="G55" s="14">
        <f>IF($B55="","",INDEX(Contracts!$C$5:$C$204,MATCH(32,Contracts!$R$5:$R$204,0)))</f>
        <v/>
      </c>
      <c r="H55" s="22">
        <f>IF($B55="","",INDEX(Contracts!$D$5:$D$204,MATCH(32,Contracts!$R$5:$R$204,0)))</f>
        <v/>
      </c>
      <c r="I55" s="20">
        <f>IF($B55="","",INDEX(Contracts!$K$5:$K$204,MATCH(32,Contracts!$R$5:$R$204,0)))</f>
        <v/>
      </c>
      <c r="J55" s="20">
        <f>IF($B55="","",INDEX(Contracts!$P$5:$P$204,MATCH(32,Contracts!$R$5:$R$204,0)))</f>
        <v/>
      </c>
    </row>
    <row r="56">
      <c r="A56" s="16">
        <f>IF($B56="","",33)</f>
        <v/>
      </c>
      <c r="B56" s="20">
        <f>IFERROR(INDEX(Contracts!$A$5:$A$204,MATCH(33,Contracts!$R$5:$R$204,0)),"")</f>
        <v/>
      </c>
      <c r="C56" s="20">
        <f>IF($B56="","",INDEX(Contracts!$B$5:$B$204,MATCH(33,Contracts!$R$5:$R$204,0)))</f>
        <v/>
      </c>
      <c r="D56" s="11">
        <f>IF($B56="","",INDEX(Contracts!$E$5:$E$204,MATCH(33,Contracts!$R$5:$R$204,0)))</f>
        <v/>
      </c>
      <c r="E56" s="12">
        <f>IF($B56="","",INDEX(Contracts!$F$5:$F$204,MATCH(33,Contracts!$R$5:$R$204,0)))</f>
        <v/>
      </c>
      <c r="F56" s="13">
        <f>IF($B56="","",INDEX(Contracts!$H$5:$H$204,MATCH(33,Contracts!$R$5:$R$204,0)))</f>
        <v/>
      </c>
      <c r="G56" s="14">
        <f>IF($B56="","",INDEX(Contracts!$C$5:$C$204,MATCH(33,Contracts!$R$5:$R$204,0)))</f>
        <v/>
      </c>
      <c r="H56" s="22">
        <f>IF($B56="","",INDEX(Contracts!$D$5:$D$204,MATCH(33,Contracts!$R$5:$R$204,0)))</f>
        <v/>
      </c>
      <c r="I56" s="20">
        <f>IF($B56="","",INDEX(Contracts!$K$5:$K$204,MATCH(33,Contracts!$R$5:$R$204,0)))</f>
        <v/>
      </c>
      <c r="J56" s="20">
        <f>IF($B56="","",INDEX(Contracts!$P$5:$P$204,MATCH(33,Contracts!$R$5:$R$204,0)))</f>
        <v/>
      </c>
    </row>
    <row r="57">
      <c r="A57" s="16">
        <f>IF($B57="","",34)</f>
        <v/>
      </c>
      <c r="B57" s="20">
        <f>IFERROR(INDEX(Contracts!$A$5:$A$204,MATCH(34,Contracts!$R$5:$R$204,0)),"")</f>
        <v/>
      </c>
      <c r="C57" s="20">
        <f>IF($B57="","",INDEX(Contracts!$B$5:$B$204,MATCH(34,Contracts!$R$5:$R$204,0)))</f>
        <v/>
      </c>
      <c r="D57" s="11">
        <f>IF($B57="","",INDEX(Contracts!$E$5:$E$204,MATCH(34,Contracts!$R$5:$R$204,0)))</f>
        <v/>
      </c>
      <c r="E57" s="12">
        <f>IF($B57="","",INDEX(Contracts!$F$5:$F$204,MATCH(34,Contracts!$R$5:$R$204,0)))</f>
        <v/>
      </c>
      <c r="F57" s="13">
        <f>IF($B57="","",INDEX(Contracts!$H$5:$H$204,MATCH(34,Contracts!$R$5:$R$204,0)))</f>
        <v/>
      </c>
      <c r="G57" s="14">
        <f>IF($B57="","",INDEX(Contracts!$C$5:$C$204,MATCH(34,Contracts!$R$5:$R$204,0)))</f>
        <v/>
      </c>
      <c r="H57" s="22">
        <f>IF($B57="","",INDEX(Contracts!$D$5:$D$204,MATCH(34,Contracts!$R$5:$R$204,0)))</f>
        <v/>
      </c>
      <c r="I57" s="20">
        <f>IF($B57="","",INDEX(Contracts!$K$5:$K$204,MATCH(34,Contracts!$R$5:$R$204,0)))</f>
        <v/>
      </c>
      <c r="J57" s="20">
        <f>IF($B57="","",INDEX(Contracts!$P$5:$P$204,MATCH(34,Contracts!$R$5:$R$204,0)))</f>
        <v/>
      </c>
    </row>
    <row r="58">
      <c r="A58" s="16">
        <f>IF($B58="","",35)</f>
        <v/>
      </c>
      <c r="B58" s="20">
        <f>IFERROR(INDEX(Contracts!$A$5:$A$204,MATCH(35,Contracts!$R$5:$R$204,0)),"")</f>
        <v/>
      </c>
      <c r="C58" s="20">
        <f>IF($B58="","",INDEX(Contracts!$B$5:$B$204,MATCH(35,Contracts!$R$5:$R$204,0)))</f>
        <v/>
      </c>
      <c r="D58" s="11">
        <f>IF($B58="","",INDEX(Contracts!$E$5:$E$204,MATCH(35,Contracts!$R$5:$R$204,0)))</f>
        <v/>
      </c>
      <c r="E58" s="12">
        <f>IF($B58="","",INDEX(Contracts!$F$5:$F$204,MATCH(35,Contracts!$R$5:$R$204,0)))</f>
        <v/>
      </c>
      <c r="F58" s="13">
        <f>IF($B58="","",INDEX(Contracts!$H$5:$H$204,MATCH(35,Contracts!$R$5:$R$204,0)))</f>
        <v/>
      </c>
      <c r="G58" s="14">
        <f>IF($B58="","",INDEX(Contracts!$C$5:$C$204,MATCH(35,Contracts!$R$5:$R$204,0)))</f>
        <v/>
      </c>
      <c r="H58" s="22">
        <f>IF($B58="","",INDEX(Contracts!$D$5:$D$204,MATCH(35,Contracts!$R$5:$R$204,0)))</f>
        <v/>
      </c>
      <c r="I58" s="20">
        <f>IF($B58="","",INDEX(Contracts!$K$5:$K$204,MATCH(35,Contracts!$R$5:$R$204,0)))</f>
        <v/>
      </c>
      <c r="J58" s="20">
        <f>IF($B58="","",INDEX(Contracts!$P$5:$P$204,MATCH(35,Contracts!$R$5:$R$204,0)))</f>
        <v/>
      </c>
    </row>
    <row r="59">
      <c r="A59" s="16">
        <f>IF($B59="","",36)</f>
        <v/>
      </c>
      <c r="B59" s="20">
        <f>IFERROR(INDEX(Contracts!$A$5:$A$204,MATCH(36,Contracts!$R$5:$R$204,0)),"")</f>
        <v/>
      </c>
      <c r="C59" s="20">
        <f>IF($B59="","",INDEX(Contracts!$B$5:$B$204,MATCH(36,Contracts!$R$5:$R$204,0)))</f>
        <v/>
      </c>
      <c r="D59" s="11">
        <f>IF($B59="","",INDEX(Contracts!$E$5:$E$204,MATCH(36,Contracts!$R$5:$R$204,0)))</f>
        <v/>
      </c>
      <c r="E59" s="12">
        <f>IF($B59="","",INDEX(Contracts!$F$5:$F$204,MATCH(36,Contracts!$R$5:$R$204,0)))</f>
        <v/>
      </c>
      <c r="F59" s="13">
        <f>IF($B59="","",INDEX(Contracts!$H$5:$H$204,MATCH(36,Contracts!$R$5:$R$204,0)))</f>
        <v/>
      </c>
      <c r="G59" s="14">
        <f>IF($B59="","",INDEX(Contracts!$C$5:$C$204,MATCH(36,Contracts!$R$5:$R$204,0)))</f>
        <v/>
      </c>
      <c r="H59" s="22">
        <f>IF($B59="","",INDEX(Contracts!$D$5:$D$204,MATCH(36,Contracts!$R$5:$R$204,0)))</f>
        <v/>
      </c>
      <c r="I59" s="20">
        <f>IF($B59="","",INDEX(Contracts!$K$5:$K$204,MATCH(36,Contracts!$R$5:$R$204,0)))</f>
        <v/>
      </c>
      <c r="J59" s="20">
        <f>IF($B59="","",INDEX(Contracts!$P$5:$P$204,MATCH(36,Contracts!$R$5:$R$204,0)))</f>
        <v/>
      </c>
    </row>
    <row r="60">
      <c r="A60" s="16">
        <f>IF($B60="","",37)</f>
        <v/>
      </c>
      <c r="B60" s="20">
        <f>IFERROR(INDEX(Contracts!$A$5:$A$204,MATCH(37,Contracts!$R$5:$R$204,0)),"")</f>
        <v/>
      </c>
      <c r="C60" s="20">
        <f>IF($B60="","",INDEX(Contracts!$B$5:$B$204,MATCH(37,Contracts!$R$5:$R$204,0)))</f>
        <v/>
      </c>
      <c r="D60" s="11">
        <f>IF($B60="","",INDEX(Contracts!$E$5:$E$204,MATCH(37,Contracts!$R$5:$R$204,0)))</f>
        <v/>
      </c>
      <c r="E60" s="12">
        <f>IF($B60="","",INDEX(Contracts!$F$5:$F$204,MATCH(37,Contracts!$R$5:$R$204,0)))</f>
        <v/>
      </c>
      <c r="F60" s="13">
        <f>IF($B60="","",INDEX(Contracts!$H$5:$H$204,MATCH(37,Contracts!$R$5:$R$204,0)))</f>
        <v/>
      </c>
      <c r="G60" s="14">
        <f>IF($B60="","",INDEX(Contracts!$C$5:$C$204,MATCH(37,Contracts!$R$5:$R$204,0)))</f>
        <v/>
      </c>
      <c r="H60" s="22">
        <f>IF($B60="","",INDEX(Contracts!$D$5:$D$204,MATCH(37,Contracts!$R$5:$R$204,0)))</f>
        <v/>
      </c>
      <c r="I60" s="20">
        <f>IF($B60="","",INDEX(Contracts!$K$5:$K$204,MATCH(37,Contracts!$R$5:$R$204,0)))</f>
        <v/>
      </c>
      <c r="J60" s="20">
        <f>IF($B60="","",INDEX(Contracts!$P$5:$P$204,MATCH(37,Contracts!$R$5:$R$204,0)))</f>
        <v/>
      </c>
    </row>
    <row r="61">
      <c r="A61" s="16">
        <f>IF($B61="","",38)</f>
        <v/>
      </c>
      <c r="B61" s="20">
        <f>IFERROR(INDEX(Contracts!$A$5:$A$204,MATCH(38,Contracts!$R$5:$R$204,0)),"")</f>
        <v/>
      </c>
      <c r="C61" s="20">
        <f>IF($B61="","",INDEX(Contracts!$B$5:$B$204,MATCH(38,Contracts!$R$5:$R$204,0)))</f>
        <v/>
      </c>
      <c r="D61" s="11">
        <f>IF($B61="","",INDEX(Contracts!$E$5:$E$204,MATCH(38,Contracts!$R$5:$R$204,0)))</f>
        <v/>
      </c>
      <c r="E61" s="12">
        <f>IF($B61="","",INDEX(Contracts!$F$5:$F$204,MATCH(38,Contracts!$R$5:$R$204,0)))</f>
        <v/>
      </c>
      <c r="F61" s="13">
        <f>IF($B61="","",INDEX(Contracts!$H$5:$H$204,MATCH(38,Contracts!$R$5:$R$204,0)))</f>
        <v/>
      </c>
      <c r="G61" s="14">
        <f>IF($B61="","",INDEX(Contracts!$C$5:$C$204,MATCH(38,Contracts!$R$5:$R$204,0)))</f>
        <v/>
      </c>
      <c r="H61" s="22">
        <f>IF($B61="","",INDEX(Contracts!$D$5:$D$204,MATCH(38,Contracts!$R$5:$R$204,0)))</f>
        <v/>
      </c>
      <c r="I61" s="20">
        <f>IF($B61="","",INDEX(Contracts!$K$5:$K$204,MATCH(38,Contracts!$R$5:$R$204,0)))</f>
        <v/>
      </c>
      <c r="J61" s="20">
        <f>IF($B61="","",INDEX(Contracts!$P$5:$P$204,MATCH(38,Contracts!$R$5:$R$204,0)))</f>
        <v/>
      </c>
    </row>
    <row r="62">
      <c r="A62" s="16">
        <f>IF($B62="","",39)</f>
        <v/>
      </c>
      <c r="B62" s="20">
        <f>IFERROR(INDEX(Contracts!$A$5:$A$204,MATCH(39,Contracts!$R$5:$R$204,0)),"")</f>
        <v/>
      </c>
      <c r="C62" s="20">
        <f>IF($B62="","",INDEX(Contracts!$B$5:$B$204,MATCH(39,Contracts!$R$5:$R$204,0)))</f>
        <v/>
      </c>
      <c r="D62" s="11">
        <f>IF($B62="","",INDEX(Contracts!$E$5:$E$204,MATCH(39,Contracts!$R$5:$R$204,0)))</f>
        <v/>
      </c>
      <c r="E62" s="12">
        <f>IF($B62="","",INDEX(Contracts!$F$5:$F$204,MATCH(39,Contracts!$R$5:$R$204,0)))</f>
        <v/>
      </c>
      <c r="F62" s="13">
        <f>IF($B62="","",INDEX(Contracts!$H$5:$H$204,MATCH(39,Contracts!$R$5:$R$204,0)))</f>
        <v/>
      </c>
      <c r="G62" s="14">
        <f>IF($B62="","",INDEX(Contracts!$C$5:$C$204,MATCH(39,Contracts!$R$5:$R$204,0)))</f>
        <v/>
      </c>
      <c r="H62" s="22">
        <f>IF($B62="","",INDEX(Contracts!$D$5:$D$204,MATCH(39,Contracts!$R$5:$R$204,0)))</f>
        <v/>
      </c>
      <c r="I62" s="20">
        <f>IF($B62="","",INDEX(Contracts!$K$5:$K$204,MATCH(39,Contracts!$R$5:$R$204,0)))</f>
        <v/>
      </c>
      <c r="J62" s="20">
        <f>IF($B62="","",INDEX(Contracts!$P$5:$P$204,MATCH(39,Contracts!$R$5:$R$204,0)))</f>
        <v/>
      </c>
    </row>
    <row r="63">
      <c r="A63" s="16">
        <f>IF($B63="","",40)</f>
        <v/>
      </c>
      <c r="B63" s="20">
        <f>IFERROR(INDEX(Contracts!$A$5:$A$204,MATCH(40,Contracts!$R$5:$R$204,0)),"")</f>
        <v/>
      </c>
      <c r="C63" s="20">
        <f>IF($B63="","",INDEX(Contracts!$B$5:$B$204,MATCH(40,Contracts!$R$5:$R$204,0)))</f>
        <v/>
      </c>
      <c r="D63" s="11">
        <f>IF($B63="","",INDEX(Contracts!$E$5:$E$204,MATCH(40,Contracts!$R$5:$R$204,0)))</f>
        <v/>
      </c>
      <c r="E63" s="12">
        <f>IF($B63="","",INDEX(Contracts!$F$5:$F$204,MATCH(40,Contracts!$R$5:$R$204,0)))</f>
        <v/>
      </c>
      <c r="F63" s="13">
        <f>IF($B63="","",INDEX(Contracts!$H$5:$H$204,MATCH(40,Contracts!$R$5:$R$204,0)))</f>
        <v/>
      </c>
      <c r="G63" s="14">
        <f>IF($B63="","",INDEX(Contracts!$C$5:$C$204,MATCH(40,Contracts!$R$5:$R$204,0)))</f>
        <v/>
      </c>
      <c r="H63" s="22">
        <f>IF($B63="","",INDEX(Contracts!$D$5:$D$204,MATCH(40,Contracts!$R$5:$R$204,0)))</f>
        <v/>
      </c>
      <c r="I63" s="20">
        <f>IF($B63="","",INDEX(Contracts!$K$5:$K$204,MATCH(40,Contracts!$R$5:$R$204,0)))</f>
        <v/>
      </c>
      <c r="J63" s="20">
        <f>IF($B63="","",INDEX(Contracts!$P$5:$P$204,MATCH(40,Contracts!$R$5:$R$204,0)))</f>
        <v/>
      </c>
    </row>
    <row r="64">
      <c r="A64" s="16">
        <f>IF($B64="","",41)</f>
        <v/>
      </c>
      <c r="B64" s="20">
        <f>IFERROR(INDEX(Contracts!$A$5:$A$204,MATCH(41,Contracts!$R$5:$R$204,0)),"")</f>
        <v/>
      </c>
      <c r="C64" s="20">
        <f>IF($B64="","",INDEX(Contracts!$B$5:$B$204,MATCH(41,Contracts!$R$5:$R$204,0)))</f>
        <v/>
      </c>
      <c r="D64" s="11">
        <f>IF($B64="","",INDEX(Contracts!$E$5:$E$204,MATCH(41,Contracts!$R$5:$R$204,0)))</f>
        <v/>
      </c>
      <c r="E64" s="12">
        <f>IF($B64="","",INDEX(Contracts!$F$5:$F$204,MATCH(41,Contracts!$R$5:$R$204,0)))</f>
        <v/>
      </c>
      <c r="F64" s="13">
        <f>IF($B64="","",INDEX(Contracts!$H$5:$H$204,MATCH(41,Contracts!$R$5:$R$204,0)))</f>
        <v/>
      </c>
      <c r="G64" s="14">
        <f>IF($B64="","",INDEX(Contracts!$C$5:$C$204,MATCH(41,Contracts!$R$5:$R$204,0)))</f>
        <v/>
      </c>
      <c r="H64" s="22">
        <f>IF($B64="","",INDEX(Contracts!$D$5:$D$204,MATCH(41,Contracts!$R$5:$R$204,0)))</f>
        <v/>
      </c>
      <c r="I64" s="20">
        <f>IF($B64="","",INDEX(Contracts!$K$5:$K$204,MATCH(41,Contracts!$R$5:$R$204,0)))</f>
        <v/>
      </c>
      <c r="J64" s="20">
        <f>IF($B64="","",INDEX(Contracts!$P$5:$P$204,MATCH(41,Contracts!$R$5:$R$204,0)))</f>
        <v/>
      </c>
    </row>
    <row r="65">
      <c r="A65" s="16">
        <f>IF($B65="","",42)</f>
        <v/>
      </c>
      <c r="B65" s="20">
        <f>IFERROR(INDEX(Contracts!$A$5:$A$204,MATCH(42,Contracts!$R$5:$R$204,0)),"")</f>
        <v/>
      </c>
      <c r="C65" s="20">
        <f>IF($B65="","",INDEX(Contracts!$B$5:$B$204,MATCH(42,Contracts!$R$5:$R$204,0)))</f>
        <v/>
      </c>
      <c r="D65" s="11">
        <f>IF($B65="","",INDEX(Contracts!$E$5:$E$204,MATCH(42,Contracts!$R$5:$R$204,0)))</f>
        <v/>
      </c>
      <c r="E65" s="12">
        <f>IF($B65="","",INDEX(Contracts!$F$5:$F$204,MATCH(42,Contracts!$R$5:$R$204,0)))</f>
        <v/>
      </c>
      <c r="F65" s="13">
        <f>IF($B65="","",INDEX(Contracts!$H$5:$H$204,MATCH(42,Contracts!$R$5:$R$204,0)))</f>
        <v/>
      </c>
      <c r="G65" s="14">
        <f>IF($B65="","",INDEX(Contracts!$C$5:$C$204,MATCH(42,Contracts!$R$5:$R$204,0)))</f>
        <v/>
      </c>
      <c r="H65" s="22">
        <f>IF($B65="","",INDEX(Contracts!$D$5:$D$204,MATCH(42,Contracts!$R$5:$R$204,0)))</f>
        <v/>
      </c>
      <c r="I65" s="20">
        <f>IF($B65="","",INDEX(Contracts!$K$5:$K$204,MATCH(42,Contracts!$R$5:$R$204,0)))</f>
        <v/>
      </c>
      <c r="J65" s="20">
        <f>IF($B65="","",INDEX(Contracts!$P$5:$P$204,MATCH(42,Contracts!$R$5:$R$204,0)))</f>
        <v/>
      </c>
    </row>
    <row r="66">
      <c r="A66" s="16">
        <f>IF($B66="","",43)</f>
        <v/>
      </c>
      <c r="B66" s="20">
        <f>IFERROR(INDEX(Contracts!$A$5:$A$204,MATCH(43,Contracts!$R$5:$R$204,0)),"")</f>
        <v/>
      </c>
      <c r="C66" s="20">
        <f>IF($B66="","",INDEX(Contracts!$B$5:$B$204,MATCH(43,Contracts!$R$5:$R$204,0)))</f>
        <v/>
      </c>
      <c r="D66" s="11">
        <f>IF($B66="","",INDEX(Contracts!$E$5:$E$204,MATCH(43,Contracts!$R$5:$R$204,0)))</f>
        <v/>
      </c>
      <c r="E66" s="12">
        <f>IF($B66="","",INDEX(Contracts!$F$5:$F$204,MATCH(43,Contracts!$R$5:$R$204,0)))</f>
        <v/>
      </c>
      <c r="F66" s="13">
        <f>IF($B66="","",INDEX(Contracts!$H$5:$H$204,MATCH(43,Contracts!$R$5:$R$204,0)))</f>
        <v/>
      </c>
      <c r="G66" s="14">
        <f>IF($B66="","",INDEX(Contracts!$C$5:$C$204,MATCH(43,Contracts!$R$5:$R$204,0)))</f>
        <v/>
      </c>
      <c r="H66" s="22">
        <f>IF($B66="","",INDEX(Contracts!$D$5:$D$204,MATCH(43,Contracts!$R$5:$R$204,0)))</f>
        <v/>
      </c>
      <c r="I66" s="20">
        <f>IF($B66="","",INDEX(Contracts!$K$5:$K$204,MATCH(43,Contracts!$R$5:$R$204,0)))</f>
        <v/>
      </c>
      <c r="J66" s="20">
        <f>IF($B66="","",INDEX(Contracts!$P$5:$P$204,MATCH(43,Contracts!$R$5:$R$204,0)))</f>
        <v/>
      </c>
    </row>
    <row r="67">
      <c r="A67" s="16">
        <f>IF($B67="","",44)</f>
        <v/>
      </c>
      <c r="B67" s="20">
        <f>IFERROR(INDEX(Contracts!$A$5:$A$204,MATCH(44,Contracts!$R$5:$R$204,0)),"")</f>
        <v/>
      </c>
      <c r="C67" s="20">
        <f>IF($B67="","",INDEX(Contracts!$B$5:$B$204,MATCH(44,Contracts!$R$5:$R$204,0)))</f>
        <v/>
      </c>
      <c r="D67" s="11">
        <f>IF($B67="","",INDEX(Contracts!$E$5:$E$204,MATCH(44,Contracts!$R$5:$R$204,0)))</f>
        <v/>
      </c>
      <c r="E67" s="12">
        <f>IF($B67="","",INDEX(Contracts!$F$5:$F$204,MATCH(44,Contracts!$R$5:$R$204,0)))</f>
        <v/>
      </c>
      <c r="F67" s="13">
        <f>IF($B67="","",INDEX(Contracts!$H$5:$H$204,MATCH(44,Contracts!$R$5:$R$204,0)))</f>
        <v/>
      </c>
      <c r="G67" s="14">
        <f>IF($B67="","",INDEX(Contracts!$C$5:$C$204,MATCH(44,Contracts!$R$5:$R$204,0)))</f>
        <v/>
      </c>
      <c r="H67" s="22">
        <f>IF($B67="","",INDEX(Contracts!$D$5:$D$204,MATCH(44,Contracts!$R$5:$R$204,0)))</f>
        <v/>
      </c>
      <c r="I67" s="20">
        <f>IF($B67="","",INDEX(Contracts!$K$5:$K$204,MATCH(44,Contracts!$R$5:$R$204,0)))</f>
        <v/>
      </c>
      <c r="J67" s="20">
        <f>IF($B67="","",INDEX(Contracts!$P$5:$P$204,MATCH(44,Contracts!$R$5:$R$204,0)))</f>
        <v/>
      </c>
    </row>
    <row r="68">
      <c r="A68" s="16">
        <f>IF($B68="","",45)</f>
        <v/>
      </c>
      <c r="B68" s="20">
        <f>IFERROR(INDEX(Contracts!$A$5:$A$204,MATCH(45,Contracts!$R$5:$R$204,0)),"")</f>
        <v/>
      </c>
      <c r="C68" s="20">
        <f>IF($B68="","",INDEX(Contracts!$B$5:$B$204,MATCH(45,Contracts!$R$5:$R$204,0)))</f>
        <v/>
      </c>
      <c r="D68" s="11">
        <f>IF($B68="","",INDEX(Contracts!$E$5:$E$204,MATCH(45,Contracts!$R$5:$R$204,0)))</f>
        <v/>
      </c>
      <c r="E68" s="12">
        <f>IF($B68="","",INDEX(Contracts!$F$5:$F$204,MATCH(45,Contracts!$R$5:$R$204,0)))</f>
        <v/>
      </c>
      <c r="F68" s="13">
        <f>IF($B68="","",INDEX(Contracts!$H$5:$H$204,MATCH(45,Contracts!$R$5:$R$204,0)))</f>
        <v/>
      </c>
      <c r="G68" s="14">
        <f>IF($B68="","",INDEX(Contracts!$C$5:$C$204,MATCH(45,Contracts!$R$5:$R$204,0)))</f>
        <v/>
      </c>
      <c r="H68" s="22">
        <f>IF($B68="","",INDEX(Contracts!$D$5:$D$204,MATCH(45,Contracts!$R$5:$R$204,0)))</f>
        <v/>
      </c>
      <c r="I68" s="20">
        <f>IF($B68="","",INDEX(Contracts!$K$5:$K$204,MATCH(45,Contracts!$R$5:$R$204,0)))</f>
        <v/>
      </c>
      <c r="J68" s="20">
        <f>IF($B68="","",INDEX(Contracts!$P$5:$P$204,MATCH(45,Contracts!$R$5:$R$204,0)))</f>
        <v/>
      </c>
    </row>
    <row r="69">
      <c r="A69" s="16">
        <f>IF($B69="","",46)</f>
        <v/>
      </c>
      <c r="B69" s="20">
        <f>IFERROR(INDEX(Contracts!$A$5:$A$204,MATCH(46,Contracts!$R$5:$R$204,0)),"")</f>
        <v/>
      </c>
      <c r="C69" s="20">
        <f>IF($B69="","",INDEX(Contracts!$B$5:$B$204,MATCH(46,Contracts!$R$5:$R$204,0)))</f>
        <v/>
      </c>
      <c r="D69" s="11">
        <f>IF($B69="","",INDEX(Contracts!$E$5:$E$204,MATCH(46,Contracts!$R$5:$R$204,0)))</f>
        <v/>
      </c>
      <c r="E69" s="12">
        <f>IF($B69="","",INDEX(Contracts!$F$5:$F$204,MATCH(46,Contracts!$R$5:$R$204,0)))</f>
        <v/>
      </c>
      <c r="F69" s="13">
        <f>IF($B69="","",INDEX(Contracts!$H$5:$H$204,MATCH(46,Contracts!$R$5:$R$204,0)))</f>
        <v/>
      </c>
      <c r="G69" s="14">
        <f>IF($B69="","",INDEX(Contracts!$C$5:$C$204,MATCH(46,Contracts!$R$5:$R$204,0)))</f>
        <v/>
      </c>
      <c r="H69" s="22">
        <f>IF($B69="","",INDEX(Contracts!$D$5:$D$204,MATCH(46,Contracts!$R$5:$R$204,0)))</f>
        <v/>
      </c>
      <c r="I69" s="20">
        <f>IF($B69="","",INDEX(Contracts!$K$5:$K$204,MATCH(46,Contracts!$R$5:$R$204,0)))</f>
        <v/>
      </c>
      <c r="J69" s="20">
        <f>IF($B69="","",INDEX(Contracts!$P$5:$P$204,MATCH(46,Contracts!$R$5:$R$204,0)))</f>
        <v/>
      </c>
    </row>
    <row r="70">
      <c r="A70" s="16">
        <f>IF($B70="","",47)</f>
        <v/>
      </c>
      <c r="B70" s="20">
        <f>IFERROR(INDEX(Contracts!$A$5:$A$204,MATCH(47,Contracts!$R$5:$R$204,0)),"")</f>
        <v/>
      </c>
      <c r="C70" s="20">
        <f>IF($B70="","",INDEX(Contracts!$B$5:$B$204,MATCH(47,Contracts!$R$5:$R$204,0)))</f>
        <v/>
      </c>
      <c r="D70" s="11">
        <f>IF($B70="","",INDEX(Contracts!$E$5:$E$204,MATCH(47,Contracts!$R$5:$R$204,0)))</f>
        <v/>
      </c>
      <c r="E70" s="12">
        <f>IF($B70="","",INDEX(Contracts!$F$5:$F$204,MATCH(47,Contracts!$R$5:$R$204,0)))</f>
        <v/>
      </c>
      <c r="F70" s="13">
        <f>IF($B70="","",INDEX(Contracts!$H$5:$H$204,MATCH(47,Contracts!$R$5:$R$204,0)))</f>
        <v/>
      </c>
      <c r="G70" s="14">
        <f>IF($B70="","",INDEX(Contracts!$C$5:$C$204,MATCH(47,Contracts!$R$5:$R$204,0)))</f>
        <v/>
      </c>
      <c r="H70" s="22">
        <f>IF($B70="","",INDEX(Contracts!$D$5:$D$204,MATCH(47,Contracts!$R$5:$R$204,0)))</f>
        <v/>
      </c>
      <c r="I70" s="20">
        <f>IF($B70="","",INDEX(Contracts!$K$5:$K$204,MATCH(47,Contracts!$R$5:$R$204,0)))</f>
        <v/>
      </c>
      <c r="J70" s="20">
        <f>IF($B70="","",INDEX(Contracts!$P$5:$P$204,MATCH(47,Contracts!$R$5:$R$204,0)))</f>
        <v/>
      </c>
    </row>
    <row r="71">
      <c r="A71" s="16">
        <f>IF($B71="","",48)</f>
        <v/>
      </c>
      <c r="B71" s="20">
        <f>IFERROR(INDEX(Contracts!$A$5:$A$204,MATCH(48,Contracts!$R$5:$R$204,0)),"")</f>
        <v/>
      </c>
      <c r="C71" s="20">
        <f>IF($B71="","",INDEX(Contracts!$B$5:$B$204,MATCH(48,Contracts!$R$5:$R$204,0)))</f>
        <v/>
      </c>
      <c r="D71" s="11">
        <f>IF($B71="","",INDEX(Contracts!$E$5:$E$204,MATCH(48,Contracts!$R$5:$R$204,0)))</f>
        <v/>
      </c>
      <c r="E71" s="12">
        <f>IF($B71="","",INDEX(Contracts!$F$5:$F$204,MATCH(48,Contracts!$R$5:$R$204,0)))</f>
        <v/>
      </c>
      <c r="F71" s="13">
        <f>IF($B71="","",INDEX(Contracts!$H$5:$H$204,MATCH(48,Contracts!$R$5:$R$204,0)))</f>
        <v/>
      </c>
      <c r="G71" s="14">
        <f>IF($B71="","",INDEX(Contracts!$C$5:$C$204,MATCH(48,Contracts!$R$5:$R$204,0)))</f>
        <v/>
      </c>
      <c r="H71" s="22">
        <f>IF($B71="","",INDEX(Contracts!$D$5:$D$204,MATCH(48,Contracts!$R$5:$R$204,0)))</f>
        <v/>
      </c>
      <c r="I71" s="20">
        <f>IF($B71="","",INDEX(Contracts!$K$5:$K$204,MATCH(48,Contracts!$R$5:$R$204,0)))</f>
        <v/>
      </c>
      <c r="J71" s="20">
        <f>IF($B71="","",INDEX(Contracts!$P$5:$P$204,MATCH(48,Contracts!$R$5:$R$204,0)))</f>
        <v/>
      </c>
    </row>
    <row r="72">
      <c r="A72" s="16">
        <f>IF($B72="","",49)</f>
        <v/>
      </c>
      <c r="B72" s="20">
        <f>IFERROR(INDEX(Contracts!$A$5:$A$204,MATCH(49,Contracts!$R$5:$R$204,0)),"")</f>
        <v/>
      </c>
      <c r="C72" s="20">
        <f>IF($B72="","",INDEX(Contracts!$B$5:$B$204,MATCH(49,Contracts!$R$5:$R$204,0)))</f>
        <v/>
      </c>
      <c r="D72" s="11">
        <f>IF($B72="","",INDEX(Contracts!$E$5:$E$204,MATCH(49,Contracts!$R$5:$R$204,0)))</f>
        <v/>
      </c>
      <c r="E72" s="12">
        <f>IF($B72="","",INDEX(Contracts!$F$5:$F$204,MATCH(49,Contracts!$R$5:$R$204,0)))</f>
        <v/>
      </c>
      <c r="F72" s="13">
        <f>IF($B72="","",INDEX(Contracts!$H$5:$H$204,MATCH(49,Contracts!$R$5:$R$204,0)))</f>
        <v/>
      </c>
      <c r="G72" s="14">
        <f>IF($B72="","",INDEX(Contracts!$C$5:$C$204,MATCH(49,Contracts!$R$5:$R$204,0)))</f>
        <v/>
      </c>
      <c r="H72" s="22">
        <f>IF($B72="","",INDEX(Contracts!$D$5:$D$204,MATCH(49,Contracts!$R$5:$R$204,0)))</f>
        <v/>
      </c>
      <c r="I72" s="20">
        <f>IF($B72="","",INDEX(Contracts!$K$5:$K$204,MATCH(49,Contracts!$R$5:$R$204,0)))</f>
        <v/>
      </c>
      <c r="J72" s="20">
        <f>IF($B72="","",INDEX(Contracts!$P$5:$P$204,MATCH(49,Contracts!$R$5:$R$204,0)))</f>
        <v/>
      </c>
    </row>
    <row r="73">
      <c r="A73" s="16">
        <f>IF($B73="","",50)</f>
        <v/>
      </c>
      <c r="B73" s="20">
        <f>IFERROR(INDEX(Contracts!$A$5:$A$204,MATCH(50,Contracts!$R$5:$R$204,0)),"")</f>
        <v/>
      </c>
      <c r="C73" s="20">
        <f>IF($B73="","",INDEX(Contracts!$B$5:$B$204,MATCH(50,Contracts!$R$5:$R$204,0)))</f>
        <v/>
      </c>
      <c r="D73" s="11">
        <f>IF($B73="","",INDEX(Contracts!$E$5:$E$204,MATCH(50,Contracts!$R$5:$R$204,0)))</f>
        <v/>
      </c>
      <c r="E73" s="12">
        <f>IF($B73="","",INDEX(Contracts!$F$5:$F$204,MATCH(50,Contracts!$R$5:$R$204,0)))</f>
        <v/>
      </c>
      <c r="F73" s="13">
        <f>IF($B73="","",INDEX(Contracts!$H$5:$H$204,MATCH(50,Contracts!$R$5:$R$204,0)))</f>
        <v/>
      </c>
      <c r="G73" s="14">
        <f>IF($B73="","",INDEX(Contracts!$C$5:$C$204,MATCH(50,Contracts!$R$5:$R$204,0)))</f>
        <v/>
      </c>
      <c r="H73" s="22">
        <f>IF($B73="","",INDEX(Contracts!$D$5:$D$204,MATCH(50,Contracts!$R$5:$R$204,0)))</f>
        <v/>
      </c>
      <c r="I73" s="20">
        <f>IF($B73="","",INDEX(Contracts!$K$5:$K$204,MATCH(50,Contracts!$R$5:$R$204,0)))</f>
        <v/>
      </c>
      <c r="J73" s="20">
        <f>IF($B73="","",INDEX(Contracts!$P$5:$P$204,MATCH(50,Contracts!$R$5:$R$204,0)))</f>
        <v/>
      </c>
    </row>
    <row r="75">
      <c r="A75" s="3" t="inlineStr">
        <is>
          <t>By owner — is ownership actually distributed?</t>
        </is>
      </c>
    </row>
    <row r="76">
      <c r="A76" s="7" t="inlineStr">
        <is>
          <t>Owner</t>
        </is>
      </c>
      <c r="B76" s="7" t="inlineStr">
        <is>
          <t>Contracts</t>
        </is>
      </c>
      <c r="C76" s="7" t="inlineStr">
        <is>
          <t>Annual spend</t>
        </is>
      </c>
      <c r="D76" s="7" t="inlineStr">
        <is>
          <t>Share of spend</t>
        </is>
      </c>
      <c r="E76" s="7" t="inlineStr">
        <is>
          <t>Missed</t>
        </is>
      </c>
      <c r="F76" s="7" t="inlineStr">
        <is>
          <t>Act now</t>
        </is>
      </c>
      <c r="G76" s="7" t="inlineStr">
        <is>
          <t>Value in the next 90 days</t>
        </is>
      </c>
    </row>
    <row r="77">
      <c r="A77" s="8" t="inlineStr">
        <is>
          <t>K. Owens</t>
        </is>
      </c>
      <c r="B77" s="16">
        <f>IF($A77="","",COUNTIFS(Contracts!$B$5:$B$204,$A77))</f>
        <v/>
      </c>
      <c r="C77" s="17">
        <f>IF($A77="","",SUMIFS(Contracts!$C$5:$C$204,Contracts!$B$5:$B$204,$A77))</f>
        <v/>
      </c>
      <c r="D77" s="15">
        <f>IF($A77="","",IFERROR(SUMIFS(Contracts!$C$5:$C$204,Contracts!$B$5:$B$204,$A77)/SUM(Contracts!$C$5:$C$204),0))</f>
        <v/>
      </c>
      <c r="E77" s="16">
        <f>IF($A77="","",COUNTIFS(Contracts!$B$5:$B$204,$A77,Contracts!$H$5:$H$204,"MISSED"))</f>
        <v/>
      </c>
      <c r="F77" s="16">
        <f>IF($A77="","",COUNTIFS(Contracts!$B$5:$B$204,$A77,Contracts!$H$5:$H$204,"ACT NOW"))</f>
        <v/>
      </c>
      <c r="G77" s="14">
        <f>IF($A77="","",SUMIFS(Contracts!$C$5:$C$204,Contracts!$B$5:$B$204,$A77,Contracts!$F$5:$F$204,"&gt;=0",Contracts!$F$5:$F$204,"&lt;=90"))</f>
        <v/>
      </c>
    </row>
    <row r="78">
      <c r="A78" s="8" t="inlineStr">
        <is>
          <t>A. Duval</t>
        </is>
      </c>
      <c r="B78" s="16">
        <f>IF($A78="","",COUNTIFS(Contracts!$B$5:$B$204,$A78))</f>
        <v/>
      </c>
      <c r="C78" s="17">
        <f>IF($A78="","",SUMIFS(Contracts!$C$5:$C$204,Contracts!$B$5:$B$204,$A78))</f>
        <v/>
      </c>
      <c r="D78" s="15">
        <f>IF($A78="","",IFERROR(SUMIFS(Contracts!$C$5:$C$204,Contracts!$B$5:$B$204,$A78)/SUM(Contracts!$C$5:$C$204),0))</f>
        <v/>
      </c>
      <c r="E78" s="16">
        <f>IF($A78="","",COUNTIFS(Contracts!$B$5:$B$204,$A78,Contracts!$H$5:$H$204,"MISSED"))</f>
        <v/>
      </c>
      <c r="F78" s="16">
        <f>IF($A78="","",COUNTIFS(Contracts!$B$5:$B$204,$A78,Contracts!$H$5:$H$204,"ACT NOW"))</f>
        <v/>
      </c>
      <c r="G78" s="14">
        <f>IF($A78="","",SUMIFS(Contracts!$C$5:$C$204,Contracts!$B$5:$B$204,$A78,Contracts!$F$5:$F$204,"&gt;=0",Contracts!$F$5:$F$204,"&lt;=90"))</f>
        <v/>
      </c>
    </row>
    <row r="79">
      <c r="A79" s="8" t="inlineStr">
        <is>
          <t>S. Novak</t>
        </is>
      </c>
      <c r="B79" s="16">
        <f>IF($A79="","",COUNTIFS(Contracts!$B$5:$B$204,$A79))</f>
        <v/>
      </c>
      <c r="C79" s="17">
        <f>IF($A79="","",SUMIFS(Contracts!$C$5:$C$204,Contracts!$B$5:$B$204,$A79))</f>
        <v/>
      </c>
      <c r="D79" s="15">
        <f>IF($A79="","",IFERROR(SUMIFS(Contracts!$C$5:$C$204,Contracts!$B$5:$B$204,$A79)/SUM(Contracts!$C$5:$C$204),0))</f>
        <v/>
      </c>
      <c r="E79" s="16">
        <f>IF($A79="","",COUNTIFS(Contracts!$B$5:$B$204,$A79,Contracts!$H$5:$H$204,"MISSED"))</f>
        <v/>
      </c>
      <c r="F79" s="16">
        <f>IF($A79="","",COUNTIFS(Contracts!$B$5:$B$204,$A79,Contracts!$H$5:$H$204,"ACT NOW"))</f>
        <v/>
      </c>
      <c r="G79" s="14">
        <f>IF($A79="","",SUMIFS(Contracts!$C$5:$C$204,Contracts!$B$5:$B$204,$A79,Contracts!$F$5:$F$204,"&gt;=0",Contracts!$F$5:$F$204,"&lt;=90"))</f>
        <v/>
      </c>
    </row>
    <row r="80">
      <c r="A80" s="8" t="inlineStr">
        <is>
          <t>M. Ferrer</t>
        </is>
      </c>
      <c r="B80" s="16">
        <f>IF($A80="","",COUNTIFS(Contracts!$B$5:$B$204,$A80))</f>
        <v/>
      </c>
      <c r="C80" s="17">
        <f>IF($A80="","",SUMIFS(Contracts!$C$5:$C$204,Contracts!$B$5:$B$204,$A80))</f>
        <v/>
      </c>
      <c r="D80" s="15">
        <f>IF($A80="","",IFERROR(SUMIFS(Contracts!$C$5:$C$204,Contracts!$B$5:$B$204,$A80)/SUM(Contracts!$C$5:$C$204),0))</f>
        <v/>
      </c>
      <c r="E80" s="16">
        <f>IF($A80="","",COUNTIFS(Contracts!$B$5:$B$204,$A80,Contracts!$H$5:$H$204,"MISSED"))</f>
        <v/>
      </c>
      <c r="F80" s="16">
        <f>IF($A80="","",COUNTIFS(Contracts!$B$5:$B$204,$A80,Contracts!$H$5:$H$204,"ACT NOW"))</f>
        <v/>
      </c>
      <c r="G80" s="14">
        <f>IF($A80="","",SUMIFS(Contracts!$C$5:$C$204,Contracts!$B$5:$B$204,$A80,Contracts!$F$5:$F$204,"&gt;=0",Contracts!$F$5:$F$204,"&lt;=90"))</f>
        <v/>
      </c>
    </row>
    <row r="81">
      <c r="A81" s="8" t="n"/>
      <c r="B81" s="16">
        <f>IF($A81="","",COUNTIFS(Contracts!$B$5:$B$204,$A81))</f>
        <v/>
      </c>
      <c r="C81" s="17">
        <f>IF($A81="","",SUMIFS(Contracts!$C$5:$C$204,Contracts!$B$5:$B$204,$A81))</f>
        <v/>
      </c>
      <c r="D81" s="15">
        <f>IF($A81="","",IFERROR(SUMIFS(Contracts!$C$5:$C$204,Contracts!$B$5:$B$204,$A81)/SUM(Contracts!$C$5:$C$204),0))</f>
        <v/>
      </c>
      <c r="E81" s="16">
        <f>IF($A81="","",COUNTIFS(Contracts!$B$5:$B$204,$A81,Contracts!$H$5:$H$204,"MISSED"))</f>
        <v/>
      </c>
      <c r="F81" s="16">
        <f>IF($A81="","",COUNTIFS(Contracts!$B$5:$B$204,$A81,Contracts!$H$5:$H$204,"ACT NOW"))</f>
        <v/>
      </c>
      <c r="G81" s="14">
        <f>IF($A81="","",SUMIFS(Contracts!$C$5:$C$204,Contracts!$B$5:$B$204,$A81,Contracts!$F$5:$F$204,"&gt;=0",Contracts!$F$5:$F$204,"&lt;=90"))</f>
        <v/>
      </c>
    </row>
    <row r="82">
      <c r="A82" s="8" t="n"/>
      <c r="B82" s="16">
        <f>IF($A82="","",COUNTIFS(Contracts!$B$5:$B$204,$A82))</f>
        <v/>
      </c>
      <c r="C82" s="17">
        <f>IF($A82="","",SUMIFS(Contracts!$C$5:$C$204,Contracts!$B$5:$B$204,$A82))</f>
        <v/>
      </c>
      <c r="D82" s="15">
        <f>IF($A82="","",IFERROR(SUMIFS(Contracts!$C$5:$C$204,Contracts!$B$5:$B$204,$A82)/SUM(Contracts!$C$5:$C$204),0))</f>
        <v/>
      </c>
      <c r="E82" s="16">
        <f>IF($A82="","",COUNTIFS(Contracts!$B$5:$B$204,$A82,Contracts!$H$5:$H$204,"MISSED"))</f>
        <v/>
      </c>
      <c r="F82" s="16">
        <f>IF($A82="","",COUNTIFS(Contracts!$B$5:$B$204,$A82,Contracts!$H$5:$H$204,"ACT NOW"))</f>
        <v/>
      </c>
      <c r="G82" s="14">
        <f>IF($A82="","",SUMIFS(Contracts!$C$5:$C$204,Contracts!$B$5:$B$204,$A82,Contracts!$F$5:$F$204,"&gt;=0",Contracts!$F$5:$F$204,"&lt;=90"))</f>
        <v/>
      </c>
    </row>
    <row r="83">
      <c r="A83" s="8" t="n"/>
      <c r="B83" s="16">
        <f>IF($A83="","",COUNTIFS(Contracts!$B$5:$B$204,$A83))</f>
        <v/>
      </c>
      <c r="C83" s="17">
        <f>IF($A83="","",SUMIFS(Contracts!$C$5:$C$204,Contracts!$B$5:$B$204,$A83))</f>
        <v/>
      </c>
      <c r="D83" s="15">
        <f>IF($A83="","",IFERROR(SUMIFS(Contracts!$C$5:$C$204,Contracts!$B$5:$B$204,$A83)/SUM(Contracts!$C$5:$C$204),0))</f>
        <v/>
      </c>
      <c r="E83" s="16">
        <f>IF($A83="","",COUNTIFS(Contracts!$B$5:$B$204,$A83,Contracts!$H$5:$H$204,"MISSED"))</f>
        <v/>
      </c>
      <c r="F83" s="16">
        <f>IF($A83="","",COUNTIFS(Contracts!$B$5:$B$204,$A83,Contracts!$H$5:$H$204,"ACT NOW"))</f>
        <v/>
      </c>
      <c r="G83" s="14">
        <f>IF($A83="","",SUMIFS(Contracts!$C$5:$C$204,Contracts!$B$5:$B$204,$A83,Contracts!$F$5:$F$204,"&gt;=0",Contracts!$F$5:$F$204,"&lt;=90"))</f>
        <v/>
      </c>
    </row>
    <row r="84">
      <c r="A84" s="8" t="n"/>
      <c r="B84" s="16">
        <f>IF($A84="","",COUNTIFS(Contracts!$B$5:$B$204,$A84))</f>
        <v/>
      </c>
      <c r="C84" s="17">
        <f>IF($A84="","",SUMIFS(Contracts!$C$5:$C$204,Contracts!$B$5:$B$204,$A84))</f>
        <v/>
      </c>
      <c r="D84" s="15">
        <f>IF($A84="","",IFERROR(SUMIFS(Contracts!$C$5:$C$204,Contracts!$B$5:$B$204,$A84)/SUM(Contracts!$C$5:$C$204),0))</f>
        <v/>
      </c>
      <c r="E84" s="16">
        <f>IF($A84="","",COUNTIFS(Contracts!$B$5:$B$204,$A84,Contracts!$H$5:$H$204,"MISSED"))</f>
        <v/>
      </c>
      <c r="F84" s="16">
        <f>IF($A84="","",COUNTIFS(Contracts!$B$5:$B$204,$A84,Contracts!$H$5:$H$204,"ACT NOW"))</f>
        <v/>
      </c>
      <c r="G84" s="14">
        <f>IF($A84="","",SUMIFS(Contracts!$C$5:$C$204,Contracts!$B$5:$B$204,$A84,Contracts!$F$5:$F$204,"&gt;=0",Contracts!$F$5:$F$204,"&lt;=90"))</f>
        <v/>
      </c>
    </row>
    <row r="85">
      <c r="A85" s="8" t="n"/>
      <c r="B85" s="16">
        <f>IF($A85="","",COUNTIFS(Contracts!$B$5:$B$204,$A85))</f>
        <v/>
      </c>
      <c r="C85" s="17">
        <f>IF($A85="","",SUMIFS(Contracts!$C$5:$C$204,Contracts!$B$5:$B$204,$A85))</f>
        <v/>
      </c>
      <c r="D85" s="15">
        <f>IF($A85="","",IFERROR(SUMIFS(Contracts!$C$5:$C$204,Contracts!$B$5:$B$204,$A85)/SUM(Contracts!$C$5:$C$204),0))</f>
        <v/>
      </c>
      <c r="E85" s="16">
        <f>IF($A85="","",COUNTIFS(Contracts!$B$5:$B$204,$A85,Contracts!$H$5:$H$204,"MISSED"))</f>
        <v/>
      </c>
      <c r="F85" s="16">
        <f>IF($A85="","",COUNTIFS(Contracts!$B$5:$B$204,$A85,Contracts!$H$5:$H$204,"ACT NOW"))</f>
        <v/>
      </c>
      <c r="G85" s="14">
        <f>IF($A85="","",SUMIFS(Contracts!$C$5:$C$204,Contracts!$B$5:$B$204,$A85,Contracts!$F$5:$F$204,"&gt;=0",Contracts!$F$5:$F$204,"&lt;=90"))</f>
        <v/>
      </c>
    </row>
    <row r="86">
      <c r="A86" s="8" t="n"/>
      <c r="B86" s="16">
        <f>IF($A86="","",COUNTIFS(Contracts!$B$5:$B$204,$A86))</f>
        <v/>
      </c>
      <c r="C86" s="17">
        <f>IF($A86="","",SUMIFS(Contracts!$C$5:$C$204,Contracts!$B$5:$B$204,$A86))</f>
        <v/>
      </c>
      <c r="D86" s="15">
        <f>IF($A86="","",IFERROR(SUMIFS(Contracts!$C$5:$C$204,Contracts!$B$5:$B$204,$A86)/SUM(Contracts!$C$5:$C$204),0))</f>
        <v/>
      </c>
      <c r="E86" s="16">
        <f>IF($A86="","",COUNTIFS(Contracts!$B$5:$B$204,$A86,Contracts!$H$5:$H$204,"MISSED"))</f>
        <v/>
      </c>
      <c r="F86" s="16">
        <f>IF($A86="","",COUNTIFS(Contracts!$B$5:$B$204,$A86,Contracts!$H$5:$H$204,"ACT NOW"))</f>
        <v/>
      </c>
      <c r="G86" s="14">
        <f>IF($A86="","",SUMIFS(Contracts!$C$5:$C$204,Contracts!$B$5:$B$204,$A86,Contracts!$F$5:$F$204,"&gt;=0",Contracts!$F$5:$F$204,"&lt;=90"))</f>
        <v/>
      </c>
    </row>
    <row r="87">
      <c r="A87" s="8" t="n"/>
      <c r="B87" s="16">
        <f>IF($A87="","",COUNTIFS(Contracts!$B$5:$B$204,$A87))</f>
        <v/>
      </c>
      <c r="C87" s="17">
        <f>IF($A87="","",SUMIFS(Contracts!$C$5:$C$204,Contracts!$B$5:$B$204,$A87))</f>
        <v/>
      </c>
      <c r="D87" s="15">
        <f>IF($A87="","",IFERROR(SUMIFS(Contracts!$C$5:$C$204,Contracts!$B$5:$B$204,$A87)/SUM(Contracts!$C$5:$C$204),0))</f>
        <v/>
      </c>
      <c r="E87" s="16">
        <f>IF($A87="","",COUNTIFS(Contracts!$B$5:$B$204,$A87,Contracts!$H$5:$H$204,"MISSED"))</f>
        <v/>
      </c>
      <c r="F87" s="16">
        <f>IF($A87="","",COUNTIFS(Contracts!$B$5:$B$204,$A87,Contracts!$H$5:$H$204,"ACT NOW"))</f>
        <v/>
      </c>
      <c r="G87" s="14">
        <f>IF($A87="","",SUMIFS(Contracts!$C$5:$C$204,Contracts!$B$5:$B$204,$A87,Contracts!$F$5:$F$204,"&gt;=0",Contracts!$F$5:$F$204,"&lt;=90"))</f>
        <v/>
      </c>
    </row>
    <row r="88">
      <c r="A88" s="8" t="n"/>
      <c r="B88" s="16">
        <f>IF($A88="","",COUNTIFS(Contracts!$B$5:$B$204,$A88))</f>
        <v/>
      </c>
      <c r="C88" s="17">
        <f>IF($A88="","",SUMIFS(Contracts!$C$5:$C$204,Contracts!$B$5:$B$204,$A88))</f>
        <v/>
      </c>
      <c r="D88" s="15">
        <f>IF($A88="","",IFERROR(SUMIFS(Contracts!$C$5:$C$204,Contracts!$B$5:$B$204,$A88)/SUM(Contracts!$C$5:$C$204),0))</f>
        <v/>
      </c>
      <c r="E88" s="16">
        <f>IF($A88="","",COUNTIFS(Contracts!$B$5:$B$204,$A88,Contracts!$H$5:$H$204,"MISSED"))</f>
        <v/>
      </c>
      <c r="F88" s="16">
        <f>IF($A88="","",COUNTIFS(Contracts!$B$5:$B$204,$A88,Contracts!$H$5:$H$204,"ACT NOW"))</f>
        <v/>
      </c>
      <c r="G88" s="14">
        <f>IF($A88="","",SUMIFS(Contracts!$C$5:$C$204,Contracts!$B$5:$B$204,$A88,Contracts!$F$5:$F$204,"&gt;=0",Contracts!$F$5:$F$204,"&lt;=90"))</f>
        <v/>
      </c>
    </row>
    <row r="89">
      <c r="A89" s="8" t="n"/>
      <c r="B89" s="16">
        <f>IF($A89="","",COUNTIFS(Contracts!$B$5:$B$204,$A89))</f>
        <v/>
      </c>
      <c r="C89" s="17">
        <f>IF($A89="","",SUMIFS(Contracts!$C$5:$C$204,Contracts!$B$5:$B$204,$A89))</f>
        <v/>
      </c>
      <c r="D89" s="15">
        <f>IF($A89="","",IFERROR(SUMIFS(Contracts!$C$5:$C$204,Contracts!$B$5:$B$204,$A89)/SUM(Contracts!$C$5:$C$204),0))</f>
        <v/>
      </c>
      <c r="E89" s="16">
        <f>IF($A89="","",COUNTIFS(Contracts!$B$5:$B$204,$A89,Contracts!$H$5:$H$204,"MISSED"))</f>
        <v/>
      </c>
      <c r="F89" s="16">
        <f>IF($A89="","",COUNTIFS(Contracts!$B$5:$B$204,$A89,Contracts!$H$5:$H$204,"ACT NOW"))</f>
        <v/>
      </c>
      <c r="G89" s="14">
        <f>IF($A89="","",SUMIFS(Contracts!$C$5:$C$204,Contracts!$B$5:$B$204,$A89,Contracts!$F$5:$F$204,"&gt;=0",Contracts!$F$5:$F$204,"&lt;=90"))</f>
        <v/>
      </c>
    </row>
    <row r="90">
      <c r="A90" s="8" t="n"/>
      <c r="B90" s="16">
        <f>IF($A90="","",COUNTIFS(Contracts!$B$5:$B$204,$A90))</f>
        <v/>
      </c>
      <c r="C90" s="17">
        <f>IF($A90="","",SUMIFS(Contracts!$C$5:$C$204,Contracts!$B$5:$B$204,$A90))</f>
        <v/>
      </c>
      <c r="D90" s="15">
        <f>IF($A90="","",IFERROR(SUMIFS(Contracts!$C$5:$C$204,Contracts!$B$5:$B$204,$A90)/SUM(Contracts!$C$5:$C$204),0))</f>
        <v/>
      </c>
      <c r="E90" s="16">
        <f>IF($A90="","",COUNTIFS(Contracts!$B$5:$B$204,$A90,Contracts!$H$5:$H$204,"MISSED"))</f>
        <v/>
      </c>
      <c r="F90" s="16">
        <f>IF($A90="","",COUNTIFS(Contracts!$B$5:$B$204,$A90,Contracts!$H$5:$H$204,"ACT NOW"))</f>
        <v/>
      </c>
      <c r="G90" s="14">
        <f>IF($A90="","",SUMIFS(Contracts!$C$5:$C$204,Contracts!$B$5:$B$204,$A90,Contracts!$F$5:$F$204,"&gt;=0",Contracts!$F$5:$F$204,"&lt;=90"))</f>
        <v/>
      </c>
    </row>
    <row r="91">
      <c r="A91" s="8" t="n"/>
      <c r="B91" s="16">
        <f>IF($A91="","",COUNTIFS(Contracts!$B$5:$B$204,$A91))</f>
        <v/>
      </c>
      <c r="C91" s="17">
        <f>IF($A91="","",SUMIFS(Contracts!$C$5:$C$204,Contracts!$B$5:$B$204,$A91))</f>
        <v/>
      </c>
      <c r="D91" s="15">
        <f>IF($A91="","",IFERROR(SUMIFS(Contracts!$C$5:$C$204,Contracts!$B$5:$B$204,$A91)/SUM(Contracts!$C$5:$C$204),0))</f>
        <v/>
      </c>
      <c r="E91" s="16">
        <f>IF($A91="","",COUNTIFS(Contracts!$B$5:$B$204,$A91,Contracts!$H$5:$H$204,"MISSED"))</f>
        <v/>
      </c>
      <c r="F91" s="16">
        <f>IF($A91="","",COUNTIFS(Contracts!$B$5:$B$204,$A91,Contracts!$H$5:$H$204,"ACT NOW"))</f>
        <v/>
      </c>
      <c r="G91" s="14">
        <f>IF($A91="","",SUMIFS(Contracts!$C$5:$C$204,Contracts!$B$5:$B$204,$A91,Contracts!$F$5:$F$204,"&gt;=0",Contracts!$F$5:$F$204,"&lt;=90"))</f>
        <v/>
      </c>
    </row>
  </sheetData>
  <conditionalFormatting sqref="F24:F73">
    <cfRule type="cellIs" priority="1" operator="equal" dxfId="0">
      <formula>"MISSED"</formula>
    </cfRule>
    <cfRule type="cellIs" priority="2" operator="equal" dxfId="1">
      <formula>"ACT NOW"</formula>
    </cfRule>
  </conditionalFormatting>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2026-09-12T19:16:40Z</dcterms:created>
  <dcterms:modified xsi:type="dcterms:W3CDTF">2026-09-12T19:16:40Z</dcterms:modified>
</cp:coreProperties>
</file>